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codeName="ThisWorkbook" defaultThemeVersion="124226"/>
  <mc:AlternateContent xmlns:mc="http://schemas.openxmlformats.org/markup-compatibility/2006">
    <mc:Choice Requires="x15">
      <x15ac:absPath xmlns:x15ac="http://schemas.microsoft.com/office/spreadsheetml/2010/11/ac" url="https://p5fiscal-my.sharepoint.com/personal/simon_prenatal5fiscal_org/Documents/Delaware/"/>
    </mc:Choice>
  </mc:AlternateContent>
  <xr:revisionPtr revIDLastSave="64" documentId="8_{3D42EBD9-61D1-984F-8288-5B64E2BC651F}" xr6:coauthVersionLast="47" xr6:coauthVersionMax="47" xr10:uidLastSave="{77001A94-17A5-7B47-9AD6-FED65DD309D5}"/>
  <bookViews>
    <workbookView xWindow="11040" yWindow="500" windowWidth="25400" windowHeight="19900" xr2:uid="{8D36351A-657E-B445-9F79-457DC7175CA8}"/>
  </bookViews>
  <sheets>
    <sheet name="VariablesINPUT-FCC" sheetId="35" r:id="rId1"/>
    <sheet name="Quality Home Profile" sheetId="1" state="hidden" r:id="rId2"/>
    <sheet name="QualVar" sheetId="102" state="hidden" r:id="rId3"/>
    <sheet name="Nonpersonnel PCQC" sheetId="77" state="hidden" r:id="rId4"/>
    <sheet name="Wages" sheetId="91" state="hidden" r:id="rId5"/>
    <sheet name="Subsidy Rates" sheetId="103" state="hidden" r:id="rId6"/>
    <sheet name="Tuition Rates" sheetId="104" state="hidden" r:id="rId7"/>
    <sheet name="Fed CACFP" sheetId="106"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0" hidden="1">'VariablesINPUT-FCC'!$A$10:$D$16</definedName>
    <definedName name="_NumberTeachingStaff">'Quality Home Profile'!$A$32</definedName>
    <definedName name="AAdegree" localSheetId="7">#REF!</definedName>
    <definedName name="AAdegree">'VariablesINPUT-FCC'!#REF!</definedName>
    <definedName name="AdditionalBenefits" localSheetId="7">#REF!</definedName>
    <definedName name="AdditionalBenefits">'Quality Home Profile'!#REF!</definedName>
    <definedName name="Addl_benefits_per_staff" localSheetId="7">'[1]Quality Center Profile'!$C$39</definedName>
    <definedName name="Addl_benefits_per_staff">'Quality Home Profile'!#REF!</definedName>
    <definedName name="Admin_Staff" localSheetId="7">#REF!</definedName>
    <definedName name="Admin_Staff">'Quality Home Profile'!$C$18</definedName>
    <definedName name="Administration__by_child" localSheetId="7">'[2]Nonpersonnel Aggregated'!$B$21</definedName>
    <definedName name="Administration__by_child">#REF!</definedName>
    <definedName name="Asst_Teacher" localSheetId="7">#REF!</definedName>
    <definedName name="Asst_Teacher">'Quality Home Profile'!$C$26</definedName>
    <definedName name="Asst_TeacherIT">'Quality Home Profile'!$C$26</definedName>
    <definedName name="AsstTeacherFCC">'Quality Home Profile'!$C$18</definedName>
    <definedName name="BadDebt" localSheetId="7">#REF!</definedName>
    <definedName name="BadDebt">'VariablesINPUT-FCC'!$D$50</definedName>
    <definedName name="BAdegree" localSheetId="7">#REF!</definedName>
    <definedName name="BAdegree">'VariablesINPUT-FCC'!#REF!</definedName>
    <definedName name="BLSsalary" localSheetId="7">'[1]VariablesINPUT-FCC'!#REF!</definedName>
    <definedName name="BLSsalary">#REF!</definedName>
    <definedName name="City_Fours" localSheetId="7">#REF!</definedName>
    <definedName name="City_Fours">#REF!</definedName>
    <definedName name="City_Infants" localSheetId="7">#REF!</definedName>
    <definedName name="City_Infants">#REF!</definedName>
    <definedName name="City_Threes" localSheetId="7">#REF!</definedName>
    <definedName name="City_Threes">#REF!</definedName>
    <definedName name="City_Toddlers" localSheetId="7">#REF!</definedName>
    <definedName name="City_Toddlers">#REF!</definedName>
    <definedName name="COunty" localSheetId="7">#REF!</definedName>
    <definedName name="COunty">'VariablesINPUT-FCC'!#REF!</definedName>
    <definedName name="Edprogram2">'[3]Quality Center Profile'!$D$58</definedName>
    <definedName name="Education_Program__by_child" localSheetId="7">'[2]Nonpersonnel Aggregated'!$B$23</definedName>
    <definedName name="Education_Program__by_child">#REF!</definedName>
    <definedName name="EnhRatio" localSheetId="7">#REF!</definedName>
    <definedName name="EnhRatio">'VariablesINPUT-FCC'!#REF!</definedName>
    <definedName name="EnhSpace" localSheetId="7">#REF!</definedName>
    <definedName name="EnhSpace">'VariablesINPUT-FCC'!#REF!</definedName>
    <definedName name="EnrollEffic" localSheetId="7">#REF!</definedName>
    <definedName name="EnrollEffic">'VariablesINPUT-FCC'!$D$49</definedName>
    <definedName name="Floater_Assts" localSheetId="7">#REF!</definedName>
    <definedName name="Floater_Assts">'Quality Home Profile'!$C$31</definedName>
    <definedName name="Fours" localSheetId="7">'[1]Quality Center Profile'!#REF!</definedName>
    <definedName name="Fours">'Quality Home Profile'!#REF!</definedName>
    <definedName name="Fours_City_Target_Subsidies">'[4]VariablesINPUT-CTR'!$E$29</definedName>
    <definedName name="Fours_Contract">'[2]VariablesINPUT-CTR'!$D$29</definedName>
    <definedName name="Fours_Private_Tuition" localSheetId="7">'[2]VariablesINPUT-CTR'!$F$29</definedName>
    <definedName name="Fours_Private_Tuition">'VariablesINPUT-FCC'!#REF!</definedName>
    <definedName name="FOURS_Tuition" localSheetId="7">#REF!</definedName>
    <definedName name="FOURS_Tuition">#REF!</definedName>
    <definedName name="Fours_Voucher">'[2]VariablesINPUT-CTR'!$C$29</definedName>
    <definedName name="FoursClassrooms" localSheetId="7">'[1]Quality Center Profile'!#REF!</definedName>
    <definedName name="FoursClassrooms">'Quality Home Profile'!#REF!</definedName>
    <definedName name="HealthIns" localSheetId="7">#REF!</definedName>
    <definedName name="HealthIns">'VariablesINPUT-FCC'!$D$44</definedName>
    <definedName name="HealthInsFCC" localSheetId="7">'[1]VariablesINPUT-FCC'!$D$20</definedName>
    <definedName name="HealthInsFCC">#REF!</definedName>
    <definedName name="Infant_Aides" localSheetId="7">#REF!</definedName>
    <definedName name="Infant_Aides">'Quality Home Profile'!#REF!</definedName>
    <definedName name="Infant_Assts" localSheetId="7">'[4]Quality Center Profile'!#REF!</definedName>
    <definedName name="Infant_Assts">'Quality Home Profile'!#REF!</definedName>
    <definedName name="INFANT_Tuition">#REF!</definedName>
    <definedName name="InfantClassrooms" localSheetId="7">#REF!</definedName>
    <definedName name="InfantClassrooms">'Quality Home Profile'!$F$7</definedName>
    <definedName name="Infants" localSheetId="7">#REF!</definedName>
    <definedName name="Infants">'Quality Home Profile'!$A$7</definedName>
    <definedName name="Infants_City_Target_Subsidies">'[4]VariablesINPUT-CTR'!$E$26</definedName>
    <definedName name="Infants_Contract">'[2]VariablesINPUT-CTR'!$D$26</definedName>
    <definedName name="Infants_Private_Tuition" localSheetId="7">'[2]VariablesINPUT-CTR'!$F$26</definedName>
    <definedName name="Infants_Private_Tuition">'VariablesINPUT-FCC'!#REF!</definedName>
    <definedName name="Infants_Voucher">'[2]VariablesINPUT-CTR'!$C$26</definedName>
    <definedName name="Kinder" localSheetId="7">#REF!</definedName>
    <definedName name="Kinder">'VariablesINPUT-FCC'!#REF!</definedName>
    <definedName name="KinderParity">#REF!</definedName>
    <definedName name="LeadTeacher" localSheetId="7">#REF!</definedName>
    <definedName name="LeadTeacher">'Quality Home Profile'!#REF!</definedName>
    <definedName name="LeadTeacherIT">'Quality Home Profile'!#REF!</definedName>
    <definedName name="MandatoryBenefits" localSheetId="7">#REF!</definedName>
    <definedName name="MandatoryBenefits">'Quality Home Profile'!#REF!</definedName>
    <definedName name="MinWage" localSheetId="7">#REF!</definedName>
    <definedName name="MinWage">'VariablesINPUT-FCC'!#REF!</definedName>
    <definedName name="ModelScale" localSheetId="7">#REF!</definedName>
    <definedName name="ModelScale">'VariablesINPUT-FCC'!#REF!</definedName>
    <definedName name="Nonpersonnel" localSheetId="7">#REF!</definedName>
    <definedName name="Nonpersonnel">'Quality Home Profile'!$C$56</definedName>
    <definedName name="NP_EdProgram" localSheetId="7">#REF!</definedName>
    <definedName name="NP_EdProgram">'Quality Home Profile'!$D$53</definedName>
    <definedName name="NP_MgtAdmin" localSheetId="7">#REF!</definedName>
    <definedName name="NP_MgtAdmin">'Quality Home Profile'!$C$55</definedName>
    <definedName name="NP_Occupancy" localSheetId="7">#REF!</definedName>
    <definedName name="NP_Occupancy">'Quality Home Profile'!$C$54</definedName>
    <definedName name="Npocc2">'[3]Quality Center Profile'!$D$59</definedName>
    <definedName name="Occupancy">'Quality Home Profile'!$C$54</definedName>
    <definedName name="Occupancy__by_classroom" localSheetId="7">'[5]Aggregated Data'!$B$29</definedName>
    <definedName name="Occupancy__by_classroom">#REF!</definedName>
    <definedName name="Ones_Private_Tuition">'VariablesINPUT-FCC'!#REF!</definedName>
    <definedName name="Paid_Leave" localSheetId="7">#REF!</definedName>
    <definedName name="Paid_Leave">'VariablesINPUT-FCC'!$D$46</definedName>
    <definedName name="PaidLeaveFCC" localSheetId="7">'[1]VariablesINPUT-FCC'!$D$22</definedName>
    <definedName name="PaidLeaveFCC">#REF!</definedName>
    <definedName name="Personnel" localSheetId="7">'[1]Quality Center Profile'!$D$40</definedName>
    <definedName name="Personnel">'Quality Home Profile'!#REF!</definedName>
    <definedName name="Preschool_Aides" localSheetId="7">#REF!</definedName>
    <definedName name="Preschool_Aides">'Quality Home Profile'!#REF!</definedName>
    <definedName name="PreschoolClassrooms" localSheetId="7">#REF!</definedName>
    <definedName name="PreschoolClassrooms">'Quality Home Profile'!#REF!</definedName>
    <definedName name="Preschoolers" localSheetId="7">#REF!</definedName>
    <definedName name="Preschoolers">'Quality Home Profile'!$A$9</definedName>
    <definedName name="PreschoolersClassroom" localSheetId="7">'[1]Quality Center Profile'!$F$9</definedName>
    <definedName name="PreschoolersClassroom">'Quality Home Profile'!$F$9</definedName>
    <definedName name="_xlnm.Print_Area" localSheetId="0">'VariablesINPUT-FCC'!$A$1:$M$23</definedName>
    <definedName name="ProfDev" localSheetId="7">#REF!</definedName>
    <definedName name="ProfDev">'VariablesINPUT-FCC'!#REF!</definedName>
    <definedName name="QualityVarCost">'Quality Home Profile'!$D$50</definedName>
    <definedName name="RatioOpt" localSheetId="7">#REF!</definedName>
    <definedName name="RatioOpt">'VariablesINPUT-FCC'!#REF!</definedName>
    <definedName name="Region" localSheetId="7">#REF!</definedName>
    <definedName name="Region">'VariablesINPUT-FCC'!#REF!</definedName>
    <definedName name="RegionFCC" localSheetId="7">'[1]VariablesINPUT-FCC'!$F$2</definedName>
    <definedName name="RegionFCC">#REF!</definedName>
    <definedName name="Reserve_Fund" localSheetId="7">#REF!</definedName>
    <definedName name="Reserve_Fund">'Quality Home Profile'!$D$59</definedName>
    <definedName name="Salary" localSheetId="7">#REF!</definedName>
    <definedName name="Salary">'VariablesINPUT-FCC'!#REF!</definedName>
    <definedName name="SalaryData" localSheetId="7">#REF!</definedName>
    <definedName name="SalaryData">'VariablesINPUT-FCC'!#REF!</definedName>
    <definedName name="SalaryLevel" localSheetId="7">#REF!</definedName>
    <definedName name="SalaryLevel">'VariablesINPUT-FCC'!#REF!</definedName>
    <definedName name="SalaryScale" localSheetId="7">#REF!</definedName>
    <definedName name="SalaryScale">'VariablesINPUT-FCC'!#REF!</definedName>
    <definedName name="SalaryScaleFCC" localSheetId="7">'[1]VariablesINPUT-FCC'!$D$16</definedName>
    <definedName name="SalaryScaleFCC">#REF!</definedName>
    <definedName name="SchoolageClassroom">'Quality Home Profile'!$F$10</definedName>
    <definedName name="Schoolagers">'Quality Home Profile'!$A$10</definedName>
    <definedName name="Sick_Days" localSheetId="7">#REF!</definedName>
    <definedName name="Sick_Days">'VariablesINPUT-FCC'!$D$45</definedName>
    <definedName name="Sick_DaysFCC">'VariablesINPUT-FCC'!$D$45</definedName>
    <definedName name="SickDaysFCC" localSheetId="7">'[1]VariablesINPUT-FCC'!$D$21</definedName>
    <definedName name="SickDaysFCC">#REF!</definedName>
    <definedName name="StarLevel" localSheetId="7">#REF!</definedName>
    <definedName name="StarLevel">'VariablesINPUT-FCC'!#REF!</definedName>
    <definedName name="Subs" localSheetId="7">#REF!</definedName>
    <definedName name="Subs">'Quality Home Profile'!$C$37</definedName>
    <definedName name="Threes" localSheetId="7">'[1]Quality Center Profile'!#REF!</definedName>
    <definedName name="Threes">'Quality Home Profile'!#REF!</definedName>
    <definedName name="Threes_City_Target_Subsidies">'[4]VariablesINPUT-CTR'!$E$28</definedName>
    <definedName name="Threes_Contract">'[2]VariablesINPUT-CTR'!$D$28</definedName>
    <definedName name="Threes_Private_Tuition" localSheetId="7">'[2]VariablesINPUT-CTR'!$F$28</definedName>
    <definedName name="Threes_Private_Tuition">'VariablesINPUT-FCC'!#REF!</definedName>
    <definedName name="THREES_tuition" localSheetId="7">#REF!</definedName>
    <definedName name="THREES_tuition">#REF!</definedName>
    <definedName name="Threes_Voucher">'[2]VariablesINPUT-CTR'!$C$28</definedName>
    <definedName name="ThreesClassroom" localSheetId="7">'[1]Quality Center Profile'!#REF!</definedName>
    <definedName name="ThreesClassroom">'Quality Home Profile'!#REF!</definedName>
    <definedName name="ThreesClassrooms" localSheetId="7">'[1]Quality Center Profile'!#REF!</definedName>
    <definedName name="ThreesClassrooms">'Quality Home Profile'!#REF!</definedName>
    <definedName name="TODDLER_Tuition" localSheetId="7">#REF!</definedName>
    <definedName name="TODDLER_Tuition">#REF!</definedName>
    <definedName name="ToddlerClassrooms" localSheetId="7">#REF!</definedName>
    <definedName name="ToddlerClassrooms">'Quality Home Profile'!$F$8</definedName>
    <definedName name="Toddlers" localSheetId="7">#REF!</definedName>
    <definedName name="Toddlers">'Quality Home Profile'!$A$8</definedName>
    <definedName name="Toddlers_City_Target_Subsidies">'[4]VariablesINPUT-CTR'!$E$27</definedName>
    <definedName name="Toddlers_Contract">'[2]VariablesINPUT-CTR'!$D$27</definedName>
    <definedName name="Toddlers_Private_Tuition">'[2]VariablesINPUT-CTR'!$F$27</definedName>
    <definedName name="Toddlers_Voucher">'[2]VariablesINPUT-CTR'!$C$27</definedName>
    <definedName name="TOTAL_Children" localSheetId="7">#REF!</definedName>
    <definedName name="TOTAL_Children">#REF!</definedName>
    <definedName name="TotalChildren" localSheetId="7">#REF!</definedName>
    <definedName name="TotalChildren">'Quality Home Profile'!$A$11</definedName>
    <definedName name="TotalClassrooms" localSheetId="7">#REF!</definedName>
    <definedName name="TotalClassrooms">'Quality Home Profile'!#REF!</definedName>
    <definedName name="Twos" localSheetId="7">'[6]Quality Center Profile'!$A$9</definedName>
    <definedName name="Twos">'Quality Home Profile'!$A$9</definedName>
    <definedName name="Twos_Private_Tuition" localSheetId="7">#REF!</definedName>
    <definedName name="Twos_Private_Tuition">'VariablesINPUT-FCC'!#REF!</definedName>
    <definedName name="TwosClassroom">'Quality Home Profile'!$F$9</definedName>
    <definedName name="TwosClassrooms" localSheetId="7">'[6]Quality Center Profile'!$F$9</definedName>
    <definedName name="TwosClassrooms">'Quality Home Profile'!$F$9</definedName>
    <definedName name="User" localSheetId="7">#REF!</definedName>
    <definedName name="User">'VariablesINPUT-FCC'!#REF!</definedName>
    <definedName name="VOUCHER_Fours" localSheetId="7">#REF!</definedName>
    <definedName name="VOUCHER_Fours">#REF!</definedName>
    <definedName name="VOUCHER_Infants" localSheetId="7">#REF!</definedName>
    <definedName name="VOUCHER_Infants">#REF!</definedName>
    <definedName name="VOUCHER_Threes" localSheetId="7">#REF!</definedName>
    <definedName name="VOUCHER_Threes">#REF!</definedName>
    <definedName name="VOUCHER_Toddlers" localSheetId="7">#REF!</definedName>
    <definedName name="VOUCHER_Toddlers">#REF!</definedName>
    <definedName name="Yes" localSheetId="7">#REF!</definedName>
    <definedName name="Yes">'VariablesINPUT-FCC'!#REF!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102" l="1"/>
  <c r="L16" i="102"/>
  <c r="E16" i="102"/>
  <c r="O74" i="35" l="1"/>
  <c r="N74" i="35"/>
  <c r="A22" i="1"/>
  <c r="A23" i="1"/>
  <c r="B92" i="35"/>
  <c r="C64" i="1"/>
  <c r="C63" i="1"/>
  <c r="D80" i="1"/>
  <c r="C87" i="35" s="1"/>
  <c r="D10" i="91"/>
  <c r="C10" i="91"/>
  <c r="B10" i="91"/>
  <c r="D26" i="35"/>
  <c r="D27" i="35" s="1"/>
  <c r="C26" i="35"/>
  <c r="B15" i="35" l="1"/>
  <c r="B25" i="102"/>
  <c r="A23" i="102"/>
  <c r="B47" i="1" s="1"/>
  <c r="B29" i="102"/>
  <c r="C29" i="102"/>
  <c r="D51" i="91"/>
  <c r="B51" i="91"/>
  <c r="C49" i="91"/>
  <c r="C48" i="91"/>
  <c r="C47" i="91"/>
  <c r="C46" i="91"/>
  <c r="A77" i="1"/>
  <c r="A78" i="1"/>
  <c r="A79" i="1"/>
  <c r="A76" i="1"/>
  <c r="D59" i="35"/>
  <c r="E56" i="35"/>
  <c r="E57" i="35"/>
  <c r="E58" i="35"/>
  <c r="E55" i="35"/>
  <c r="E22" i="104"/>
  <c r="D22" i="104"/>
  <c r="E21" i="104"/>
  <c r="D21" i="104"/>
  <c r="E20" i="104"/>
  <c r="D20" i="104"/>
  <c r="E19" i="104"/>
  <c r="D19" i="104"/>
  <c r="E14" i="104"/>
  <c r="D14" i="104"/>
  <c r="E13" i="104"/>
  <c r="D13" i="104"/>
  <c r="E12" i="104"/>
  <c r="D12" i="104"/>
  <c r="E11" i="104"/>
  <c r="D11" i="104"/>
  <c r="E6" i="104"/>
  <c r="D6" i="104"/>
  <c r="E5" i="104"/>
  <c r="D5" i="104"/>
  <c r="E4" i="104"/>
  <c r="D4" i="104"/>
  <c r="E3" i="104"/>
  <c r="D3" i="104"/>
  <c r="E22" i="103"/>
  <c r="D22" i="103"/>
  <c r="E21" i="103"/>
  <c r="D21" i="103"/>
  <c r="E20" i="103"/>
  <c r="D20" i="103"/>
  <c r="E19" i="103"/>
  <c r="D19" i="103"/>
  <c r="E14" i="103"/>
  <c r="D14" i="103"/>
  <c r="E13" i="103"/>
  <c r="D13" i="103"/>
  <c r="E12" i="103"/>
  <c r="D12" i="103"/>
  <c r="E11" i="103"/>
  <c r="D11" i="103"/>
  <c r="E3" i="103"/>
  <c r="E4" i="103"/>
  <c r="E5" i="103"/>
  <c r="E6" i="103"/>
  <c r="D4" i="103"/>
  <c r="D5" i="103"/>
  <c r="D6" i="103"/>
  <c r="D3" i="103"/>
  <c r="A5" i="91"/>
  <c r="A16" i="91" s="1"/>
  <c r="A26" i="91" s="1"/>
  <c r="A36" i="91" s="1"/>
  <c r="A46" i="91" s="1"/>
  <c r="A6" i="91"/>
  <c r="A17" i="91" s="1"/>
  <c r="A27" i="91" s="1"/>
  <c r="A37" i="91" s="1"/>
  <c r="A47" i="91" s="1"/>
  <c r="A7" i="91"/>
  <c r="A18" i="91" s="1"/>
  <c r="A28" i="91" s="1"/>
  <c r="A38" i="91" s="1"/>
  <c r="A48" i="91" s="1"/>
  <c r="A8" i="91"/>
  <c r="A19" i="91" s="1"/>
  <c r="A29" i="91" s="1"/>
  <c r="A39" i="91" s="1"/>
  <c r="A49" i="91" s="1"/>
  <c r="A4" i="91"/>
  <c r="A15" i="91" s="1"/>
  <c r="A25" i="91" s="1"/>
  <c r="A35" i="91" s="1"/>
  <c r="A45" i="91" s="1"/>
  <c r="C21" i="102"/>
  <c r="B21" i="102"/>
  <c r="D46" i="1" s="1"/>
  <c r="E20" i="102"/>
  <c r="E21" i="102" s="1"/>
  <c r="D20" i="102"/>
  <c r="D21" i="102" s="1"/>
  <c r="B3" i="102"/>
  <c r="C12" i="102"/>
  <c r="C19" i="102" s="1"/>
  <c r="C27" i="102" s="1"/>
  <c r="C31" i="102" s="1"/>
  <c r="D12" i="102"/>
  <c r="D19" i="102" s="1"/>
  <c r="D27" i="102" s="1"/>
  <c r="D31" i="102" s="1"/>
  <c r="E12" i="102"/>
  <c r="E19" i="102" s="1"/>
  <c r="E27" i="102" s="1"/>
  <c r="E31" i="102" s="1"/>
  <c r="B12" i="102"/>
  <c r="B19" i="102" s="1"/>
  <c r="B27" i="102" s="1"/>
  <c r="B31" i="102" s="1"/>
  <c r="A31" i="102"/>
  <c r="B49" i="1" s="1"/>
  <c r="A27" i="102"/>
  <c r="B48" i="1" s="1"/>
  <c r="A19" i="102"/>
  <c r="B46" i="1" s="1"/>
  <c r="B23" i="102" l="1"/>
  <c r="E23" i="102"/>
  <c r="D23" i="102"/>
  <c r="C23" i="102"/>
  <c r="C51" i="91"/>
  <c r="B29" i="77" l="1"/>
  <c r="B24" i="77"/>
  <c r="B33" i="77" s="1"/>
  <c r="B39" i="77" s="1"/>
  <c r="E4" i="77"/>
  <c r="E3" i="77"/>
  <c r="E2" i="77"/>
  <c r="C59" i="35"/>
  <c r="D60" i="35" s="1"/>
  <c r="F78" i="1" l="1"/>
  <c r="C78" i="1" s="1"/>
  <c r="D78" i="1" s="1"/>
  <c r="F76" i="1"/>
  <c r="F77" i="1"/>
  <c r="F79" i="1"/>
  <c r="C79" i="1" s="1"/>
  <c r="F75" i="1"/>
  <c r="C75" i="1" s="1"/>
  <c r="F72" i="1"/>
  <c r="F73" i="1"/>
  <c r="C73" i="1" s="1"/>
  <c r="F74" i="1"/>
  <c r="C74" i="1" s="1"/>
  <c r="F69" i="1"/>
  <c r="C69" i="1" s="1"/>
  <c r="F70" i="1"/>
  <c r="C70" i="1" s="1"/>
  <c r="F71" i="1"/>
  <c r="C71" i="1" s="1"/>
  <c r="F68" i="1"/>
  <c r="C68" i="1" s="1"/>
  <c r="C38" i="1"/>
  <c r="A16" i="35"/>
  <c r="C39" i="91"/>
  <c r="C38" i="91"/>
  <c r="C37" i="91"/>
  <c r="C36" i="91"/>
  <c r="D31" i="91"/>
  <c r="C28" i="91"/>
  <c r="C27" i="91"/>
  <c r="C26" i="91"/>
  <c r="B31" i="91"/>
  <c r="D21" i="91"/>
  <c r="B21" i="91"/>
  <c r="D41" i="91"/>
  <c r="B41" i="91"/>
  <c r="C18" i="1"/>
  <c r="C16" i="1"/>
  <c r="C17" i="1"/>
  <c r="C19" i="91"/>
  <c r="C18" i="91"/>
  <c r="C17" i="91"/>
  <c r="C16" i="91"/>
  <c r="C16" i="35" l="1"/>
  <c r="B16" i="35"/>
  <c r="C21" i="1"/>
  <c r="C23" i="1"/>
  <c r="D23" i="1" s="1"/>
  <c r="C41" i="91"/>
  <c r="C21" i="91"/>
  <c r="C24" i="1"/>
  <c r="C22" i="1"/>
  <c r="D22" i="1" s="1"/>
  <c r="C77" i="1"/>
  <c r="D77" i="1" s="1"/>
  <c r="C72" i="1"/>
  <c r="C76" i="1"/>
  <c r="D76" i="1" s="1"/>
  <c r="C31" i="91"/>
  <c r="D79" i="1"/>
  <c r="B1" i="102"/>
  <c r="E15" i="102" s="1"/>
  <c r="C36" i="1"/>
  <c r="C37" i="1"/>
  <c r="E13" i="102" l="1"/>
  <c r="D56" i="1"/>
  <c r="C78" i="35" s="1"/>
  <c r="B40" i="77"/>
  <c r="C40" i="77" s="1"/>
  <c r="B38" i="77"/>
  <c r="B5" i="102" l="1"/>
  <c r="E59" i="35"/>
  <c r="L28" i="102" l="1"/>
  <c r="E28" i="102" s="1"/>
  <c r="E29" i="102" s="1"/>
  <c r="D48" i="1" s="1"/>
  <c r="L9" i="102"/>
  <c r="E9" i="102" s="1"/>
  <c r="D28" i="102"/>
  <c r="D29" i="102" s="1"/>
  <c r="C24" i="102"/>
  <c r="C25" i="102" s="1"/>
  <c r="D24" i="102"/>
  <c r="D25" i="102" s="1"/>
  <c r="E24" i="102"/>
  <c r="E25" i="102" s="1"/>
  <c r="C8" i="102"/>
  <c r="D33" i="102"/>
  <c r="D8" i="102"/>
  <c r="E8" i="102"/>
  <c r="E33" i="102"/>
  <c r="D49" i="1" s="1"/>
  <c r="C33" i="1"/>
  <c r="D47" i="1" l="1"/>
  <c r="E10" i="102"/>
  <c r="A8" i="1" l="1"/>
  <c r="A9" i="1"/>
  <c r="A10" i="1"/>
  <c r="A7" i="1"/>
  <c r="A17" i="1" l="1"/>
  <c r="A18" i="1" l="1"/>
  <c r="A24" i="1" s="1"/>
  <c r="D24" i="1" s="1"/>
  <c r="D17" i="1"/>
  <c r="A19" i="1" l="1"/>
  <c r="D38" i="1" s="1"/>
  <c r="A21" i="1"/>
  <c r="A25" i="1" s="1"/>
  <c r="B17" i="102"/>
  <c r="D21" i="1" l="1"/>
  <c r="C85" i="1"/>
  <c r="C84" i="1"/>
  <c r="H9" i="106" l="1"/>
  <c r="J9" i="106" s="1"/>
  <c r="H8" i="106"/>
  <c r="J8" i="106" s="1"/>
  <c r="A73" i="1"/>
  <c r="A74" i="1"/>
  <c r="A75" i="1"/>
  <c r="A72" i="1"/>
  <c r="C67" i="1" l="1"/>
  <c r="F26" i="35" l="1"/>
  <c r="C27" i="35"/>
  <c r="G26" i="35"/>
  <c r="B10" i="102"/>
  <c r="B45" i="1"/>
  <c r="B44" i="1"/>
  <c r="B9" i="1"/>
  <c r="F70" i="35" s="1"/>
  <c r="F76" i="35" s="1"/>
  <c r="B10" i="1"/>
  <c r="F71" i="35" s="1"/>
  <c r="F77" i="35" s="1"/>
  <c r="F83" i="35" l="1"/>
  <c r="M78" i="35"/>
  <c r="F82" i="35"/>
  <c r="M77" i="35"/>
  <c r="D61" i="35"/>
  <c r="A69" i="1"/>
  <c r="D69" i="1" s="1"/>
  <c r="A71" i="1"/>
  <c r="D71" i="1" s="1"/>
  <c r="D16" i="1" l="1"/>
  <c r="D74" i="1"/>
  <c r="D73" i="1"/>
  <c r="D72" i="1"/>
  <c r="D75" i="1"/>
  <c r="C85" i="35" l="1"/>
  <c r="D54" i="1"/>
  <c r="C76" i="35" s="1"/>
  <c r="B32" i="77" l="1"/>
  <c r="B35" i="77" l="1"/>
  <c r="A70" i="1" l="1"/>
  <c r="D70" i="1" s="1"/>
  <c r="A68" i="1"/>
  <c r="B8" i="1"/>
  <c r="F69" i="35" s="1"/>
  <c r="F75" i="35" s="1"/>
  <c r="F81" i="35" l="1"/>
  <c r="M76" i="35"/>
  <c r="D67" i="1"/>
  <c r="C84" i="35" s="1"/>
  <c r="A67" i="1"/>
  <c r="A66" i="1"/>
  <c r="B7" i="1" l="1"/>
  <c r="F68" i="35" s="1"/>
  <c r="F74" i="35" s="1"/>
  <c r="F80" i="35" l="1"/>
  <c r="M75" i="35"/>
  <c r="A11" i="1"/>
  <c r="D55" i="1" l="1"/>
  <c r="D58" i="1" l="1"/>
  <c r="C77" i="35"/>
  <c r="D18" i="1"/>
  <c r="D26" i="1" l="1"/>
  <c r="C72" i="35" s="1"/>
  <c r="D31" i="1" l="1"/>
  <c r="D30" i="1"/>
  <c r="D29" i="1"/>
  <c r="D32" i="1"/>
  <c r="C10" i="102"/>
  <c r="D44" i="1" s="1"/>
  <c r="D10" i="102"/>
  <c r="D33" i="1" l="1"/>
  <c r="D68" i="1" l="1"/>
  <c r="C86" i="35" s="1"/>
  <c r="C88" i="35" s="1"/>
  <c r="D81" i="1" l="1"/>
  <c r="D84" i="1" s="1"/>
  <c r="D85" i="1" l="1"/>
  <c r="D86" i="1" s="1"/>
  <c r="C90" i="35" l="1"/>
  <c r="B2" i="102" l="1"/>
  <c r="D15" i="102" s="1"/>
  <c r="D37" i="1"/>
  <c r="C69" i="35"/>
  <c r="D36" i="1"/>
  <c r="E14" i="102" l="1"/>
  <c r="E17" i="102" s="1"/>
  <c r="C15" i="102"/>
  <c r="C17" i="102" s="1"/>
  <c r="D45" i="1" s="1"/>
  <c r="D50" i="1" s="1"/>
  <c r="C75" i="35" s="1"/>
  <c r="D17" i="102"/>
  <c r="D39" i="1"/>
  <c r="C73" i="35" s="1"/>
  <c r="C74" i="35" s="1"/>
  <c r="D41" i="1" l="1"/>
  <c r="D59" i="1" s="1"/>
  <c r="C79" i="35" s="1"/>
  <c r="C80" i="35" s="1"/>
  <c r="C81" i="35" s="1"/>
  <c r="D61" i="1" l="1"/>
  <c r="G10" i="1" s="1"/>
  <c r="I9" i="1" s="1"/>
  <c r="G8" i="1" l="1"/>
  <c r="G7" i="1"/>
  <c r="J9" i="1"/>
  <c r="K9" i="1" s="1"/>
  <c r="H10" i="1"/>
  <c r="C10" i="1" s="1"/>
  <c r="I11" i="1" s="1"/>
  <c r="I10" i="1" s="1"/>
  <c r="D87" i="1"/>
  <c r="C92" i="35" s="1"/>
  <c r="G9" i="1"/>
  <c r="H7" i="1" l="1"/>
  <c r="C7" i="1" s="1"/>
  <c r="D7" i="1" s="1"/>
  <c r="H8" i="1"/>
  <c r="C8" i="1" s="1"/>
  <c r="D8" i="1" s="1"/>
  <c r="J10" i="1"/>
  <c r="H9" i="1"/>
  <c r="C9" i="1" s="1"/>
  <c r="D9" i="1" s="1"/>
  <c r="E87" i="1"/>
  <c r="C94" i="35" s="1"/>
  <c r="G71" i="35"/>
  <c r="H71" i="35" s="1"/>
  <c r="D10" i="1"/>
  <c r="E10" i="1"/>
  <c r="I85" i="1"/>
  <c r="G68" i="35" l="1"/>
  <c r="I68" i="35" s="1"/>
  <c r="I82" i="1"/>
  <c r="E7" i="1"/>
  <c r="G69" i="35"/>
  <c r="I69" i="35" s="1"/>
  <c r="E8" i="1"/>
  <c r="I83" i="1"/>
  <c r="G70" i="35"/>
  <c r="G76" i="35" s="1"/>
  <c r="G83" i="35"/>
  <c r="H83" i="35" s="1"/>
  <c r="O78" i="35" s="1"/>
  <c r="I84" i="1"/>
  <c r="E9" i="1"/>
  <c r="I71" i="35"/>
  <c r="G77" i="35"/>
  <c r="H77" i="35" s="1"/>
  <c r="N78" i="35" s="1"/>
  <c r="I86" i="1" l="1"/>
  <c r="I87" i="1" s="1"/>
  <c r="G81" i="35"/>
  <c r="G75" i="35"/>
  <c r="G80" i="35"/>
  <c r="H68" i="35"/>
  <c r="G74" i="35"/>
  <c r="H69" i="35"/>
  <c r="E11" i="1"/>
  <c r="H70" i="35"/>
  <c r="H76" i="35" s="1"/>
  <c r="N77" i="35" s="1"/>
  <c r="I70" i="35"/>
  <c r="G82" i="35"/>
  <c r="H75" i="35" l="1"/>
  <c r="N76" i="35" s="1"/>
  <c r="H74" i="35"/>
  <c r="N75" i="35" s="1"/>
  <c r="H80" i="35"/>
  <c r="O75" i="35" s="1"/>
  <c r="H81" i="35"/>
  <c r="O76" i="35" s="1"/>
  <c r="H82" i="35"/>
  <c r="O77" i="35" s="1"/>
</calcChain>
</file>

<file path=xl/sharedStrings.xml><?xml version="1.0" encoding="utf-8"?>
<sst xmlns="http://schemas.openxmlformats.org/spreadsheetml/2006/main" count="439" uniqueCount="301">
  <si>
    <t>Contribution to operating reserve fund</t>
  </si>
  <si>
    <t>of expenses</t>
  </si>
  <si>
    <t>Items in yellow shaded cells may be changed to model different scenarios</t>
  </si>
  <si>
    <t>Subtotal Mandatory Benefits</t>
  </si>
  <si>
    <t>TOTAL Children</t>
  </si>
  <si>
    <t>Medicare</t>
  </si>
  <si>
    <t>Workers Compensation</t>
  </si>
  <si>
    <t>DO NOT CHANGE OTHER CELLS</t>
  </si>
  <si>
    <t>About 3% is typical</t>
  </si>
  <si>
    <t>Total</t>
  </si>
  <si>
    <t>Annual cost per child</t>
  </si>
  <si>
    <t>Monthly</t>
  </si>
  <si>
    <t>Training/PD</t>
  </si>
  <si>
    <t>Occupancy</t>
  </si>
  <si>
    <t>Insurance</t>
  </si>
  <si>
    <t xml:space="preserve">FICA-Social Security </t>
  </si>
  <si>
    <t>85-95% is typical</t>
  </si>
  <si>
    <r>
      <t xml:space="preserve">Bad Debt </t>
    </r>
    <r>
      <rPr>
        <i/>
        <sz val="10"/>
        <rFont val="Arial"/>
        <family val="2"/>
      </rPr>
      <t>as % of revenue not collected</t>
    </r>
  </si>
  <si>
    <t xml:space="preserve">EFFICIENCY </t>
  </si>
  <si>
    <t>Discretionary benefits</t>
  </si>
  <si>
    <t>Total Expense</t>
  </si>
  <si>
    <r>
      <t>Enrollment</t>
    </r>
    <r>
      <rPr>
        <i/>
        <sz val="10"/>
        <rFont val="Arial"/>
        <family val="2"/>
      </rPr>
      <t xml:space="preserve"> as % of total staffed capacity</t>
    </r>
  </si>
  <si>
    <t>these cells have data from the Variables sheet. DO NOT change here.</t>
  </si>
  <si>
    <t>user can change these cells</t>
  </si>
  <si>
    <t>Health Insurance</t>
  </si>
  <si>
    <t>Lead Teacher</t>
  </si>
  <si>
    <t>Yes</t>
  </si>
  <si>
    <t>CPC check</t>
  </si>
  <si>
    <t>Sick Days</t>
  </si>
  <si>
    <t>Paid Leave</t>
  </si>
  <si>
    <t>Select whether program offers health insurance to employees</t>
  </si>
  <si>
    <t>Preschool</t>
  </si>
  <si>
    <t>Results - Cost per Child (CPC)</t>
  </si>
  <si>
    <t>Infant</t>
  </si>
  <si>
    <t>Toddler</t>
  </si>
  <si>
    <t>Infants</t>
  </si>
  <si>
    <t>Toddlers</t>
  </si>
  <si>
    <t>Preschoolers</t>
  </si>
  <si>
    <t>Supplies</t>
  </si>
  <si>
    <t>advertising</t>
  </si>
  <si>
    <t>infants</t>
  </si>
  <si>
    <t>toddlers</t>
  </si>
  <si>
    <t>preschoolers</t>
  </si>
  <si>
    <t>enter annual number of days per staff member</t>
  </si>
  <si>
    <t>enter annual number of days per staff member, not including holidays where program is closed</t>
  </si>
  <si>
    <t>PCQC - FCC</t>
  </si>
  <si>
    <t>vehicle expense</t>
  </si>
  <si>
    <t>depreciation</t>
  </si>
  <si>
    <t>insurance</t>
  </si>
  <si>
    <t>legal &amp; Prof fees</t>
  </si>
  <si>
    <t>Office supplie</t>
  </si>
  <si>
    <t>Repairs/Maint</t>
  </si>
  <si>
    <t>Food</t>
  </si>
  <si>
    <t>Telephone</t>
  </si>
  <si>
    <t>Prof Member</t>
  </si>
  <si>
    <t>License/permits</t>
  </si>
  <si>
    <t>Mortgage/Rent</t>
  </si>
  <si>
    <t>Home Repairs/Maint</t>
  </si>
  <si>
    <t>Utilities</t>
  </si>
  <si>
    <t>Household supplies</t>
  </si>
  <si>
    <t>Hours worked</t>
  </si>
  <si>
    <t>Space in home</t>
  </si>
  <si>
    <t>Total space</t>
  </si>
  <si>
    <t>Category</t>
  </si>
  <si>
    <t>Time-Space Percent</t>
  </si>
  <si>
    <t>interest on biz debt</t>
  </si>
  <si>
    <t>Total 100% Biz</t>
  </si>
  <si>
    <t>Shared expense</t>
  </si>
  <si>
    <t>Total Nonpersonnel</t>
  </si>
  <si>
    <t>Administration</t>
  </si>
  <si>
    <t>Education Program</t>
  </si>
  <si>
    <t xml:space="preserve">Use in FCC R&amp;E </t>
  </si>
  <si>
    <t>Licensing</t>
  </si>
  <si>
    <t>Baby Promise</t>
  </si>
  <si>
    <t>Preschool Promise</t>
  </si>
  <si>
    <t>Family Engagement</t>
  </si>
  <si>
    <t>School age</t>
  </si>
  <si>
    <t>Point 2</t>
  </si>
  <si>
    <t>EHS</t>
  </si>
  <si>
    <t>Aspirational</t>
  </si>
  <si>
    <t>Age</t>
  </si>
  <si>
    <t>Professional Development Supports</t>
  </si>
  <si>
    <t>2 conferences annually</t>
  </si>
  <si>
    <t>coverage paid at floater/sub rate</t>
  </si>
  <si>
    <t>Floater/Sub Rate/Hour</t>
  </si>
  <si>
    <r>
      <t xml:space="preserve">Items in GREEN shaded cells are for INPUT to model different quality variables..   </t>
    </r>
    <r>
      <rPr>
        <b/>
        <sz val="11"/>
        <color rgb="FFFF0000"/>
        <rFont val="Arial"/>
        <family val="2"/>
      </rPr>
      <t>PLEASE DO NOT CHANGE ANY OTHER CELLS ON THIS SHEET</t>
    </r>
  </si>
  <si>
    <t>QUALITY VARIABLES - Infant and Toddler</t>
  </si>
  <si>
    <t>Subtotal quality variables</t>
  </si>
  <si>
    <t>Weighted Avg based on Input</t>
  </si>
  <si>
    <t>Statewide</t>
  </si>
  <si>
    <t>Rural</t>
  </si>
  <si>
    <t>Suburban</t>
  </si>
  <si>
    <t>Urban</t>
  </si>
  <si>
    <t>BENEFITS</t>
  </si>
  <si>
    <t>Annual</t>
  </si>
  <si>
    <t>Weekly</t>
  </si>
  <si>
    <t>enter %  at each level</t>
  </si>
  <si>
    <t>REVENUE</t>
  </si>
  <si>
    <t>Private Tuition</t>
  </si>
  <si>
    <t>Total across all public funding</t>
  </si>
  <si>
    <t>Percent subsidy</t>
  </si>
  <si>
    <r>
      <t xml:space="preserve">Enter </t>
    </r>
    <r>
      <rPr>
        <b/>
        <i/>
        <sz val="10"/>
        <rFont val="Arial"/>
        <family val="2"/>
      </rPr>
      <t># of children</t>
    </r>
    <r>
      <rPr>
        <i/>
        <sz val="10"/>
        <rFont val="Arial"/>
        <family val="2"/>
      </rPr>
      <t xml:space="preserve"> by age receiving each type of subsidy using YELLOW cells only in the table below. Private Tuition cell will automatically calculated and should not be a negative </t>
    </r>
  </si>
  <si>
    <t>CACFP (all ages)</t>
  </si>
  <si>
    <t>Private Tuition (infants)</t>
  </si>
  <si>
    <t>Private Tuition (toddlers)</t>
  </si>
  <si>
    <t>Private Tuition (preschoolers)</t>
  </si>
  <si>
    <t>Private Tuition (school age)</t>
  </si>
  <si>
    <t>Other income (grants, fundraising, etc.)</t>
  </si>
  <si>
    <t xml:space="preserve">= Potential Total Revenue </t>
  </si>
  <si>
    <t># children</t>
  </si>
  <si>
    <t>CHILD AND ADULT CARE FOOD PROGRAM (CACFP)</t>
  </si>
  <si>
    <t>UPDATED</t>
  </si>
  <si>
    <t>Per Meal Rates in Whole or Fractions of U.S. Dollars</t>
  </si>
  <si>
    <t>Centers</t>
  </si>
  <si>
    <t>DO NOT ALTER = used in formulas on other spreadsheets</t>
  </si>
  <si>
    <t>Breakfast</t>
  </si>
  <si>
    <t>Lunch /Supper</t>
  </si>
  <si>
    <t>Snack</t>
  </si>
  <si>
    <t xml:space="preserve">Daily </t>
  </si>
  <si>
    <t>weekly</t>
  </si>
  <si>
    <t>&lt;185% FPL</t>
  </si>
  <si>
    <t>1 breakfast,1  lunch or dinner and 2 snacks</t>
  </si>
  <si>
    <t>Homes</t>
  </si>
  <si>
    <t>Tier I</t>
  </si>
  <si>
    <t>Tier II</t>
  </si>
  <si>
    <t xml:space="preserve">Source:  </t>
  </si>
  <si>
    <t>rates</t>
  </si>
  <si>
    <t>homes</t>
  </si>
  <si>
    <t>NOTE:</t>
  </si>
  <si>
    <t>Tier I day care homes are those that are located in low-income areas, or those in which the provider’s household income is at or below 185 percent of the Federal income poverty guidelines.  Sponsoring organizations may use elementary school free and reduced price enrollment data or census block group data to determine which areas are low-income.</t>
  </si>
  <si>
    <r>
      <t xml:space="preserve">Tier II homes are those family day care homes which do not meet the location or provider income criteria for a tier I home.  </t>
    </r>
    <r>
      <rPr>
        <b/>
        <i/>
        <sz val="10"/>
        <rFont val="Arial"/>
        <family val="2"/>
      </rPr>
      <t>The provider in a tier II home may elect to have the sponsoring organization identify income-eligible children, so that meals served to those children who qualify for free and reduced price meals would be reimbursed at the higher tier I rates</t>
    </r>
    <r>
      <rPr>
        <i/>
        <sz val="10"/>
        <rFont val="Arial"/>
        <family val="2"/>
      </rPr>
      <t>.</t>
    </r>
  </si>
  <si>
    <t>A child’s eligibility for tier I rates in a tier II day care home may be documented through submission of an income eligibility statement which details family size and income or participation in any of a number of means-tested State or Federal programs with eligibility at or below 185 percent of poverty.</t>
  </si>
  <si>
    <t>https://www.federalregister.gov/documents/2020/07/22/2020-15765/child-and-adult-care-food-program-national-average-payment-rates-day-care-home-food-service-payment</t>
  </si>
  <si>
    <t>Adjustments to revenue</t>
  </si>
  <si>
    <t>Bad debt</t>
  </si>
  <si>
    <t>Enrollment efficiency (average)</t>
  </si>
  <si>
    <t>= Actual Total Revenue</t>
  </si>
  <si>
    <t>Annual Revenue less Expenses profit/(loss)</t>
  </si>
  <si>
    <t>Cluster 1</t>
  </si>
  <si>
    <t>Cluster 2</t>
  </si>
  <si>
    <t>Cluster 3</t>
  </si>
  <si>
    <t>Cluster 4</t>
  </si>
  <si>
    <t>Tuition Cluster</t>
  </si>
  <si>
    <t>Salary Override</t>
  </si>
  <si>
    <t>No</t>
  </si>
  <si>
    <t>Position</t>
  </si>
  <si>
    <t>Annual Salary</t>
  </si>
  <si>
    <t># of Children</t>
  </si>
  <si>
    <t>ENROLLMENT</t>
  </si>
  <si>
    <t>Total Children</t>
  </si>
  <si>
    <t>Director/Owner</t>
  </si>
  <si>
    <t>Program Director/Owner</t>
  </si>
  <si>
    <t>Cost per age group</t>
  </si>
  <si>
    <t>Provider/Teacher</t>
  </si>
  <si>
    <t>EXPENSES</t>
  </si>
  <si>
    <t>Salaries and Wages</t>
  </si>
  <si>
    <t>TOTAL</t>
  </si>
  <si>
    <t>Subtotal Salary and Wages</t>
  </si>
  <si>
    <t>Mandatory benefits for salaried staff</t>
  </si>
  <si>
    <t xml:space="preserve">Unemployment Insurance </t>
  </si>
  <si>
    <t>per person</t>
  </si>
  <si>
    <t>Sick Leave</t>
  </si>
  <si>
    <t>Paid leave</t>
  </si>
  <si>
    <t>Discretionary Benefits</t>
  </si>
  <si>
    <t>Subtotal Wages and Benefits</t>
  </si>
  <si>
    <t>Other Direct Expense: 100% Business Use (reported on IRS Schedule C)</t>
  </si>
  <si>
    <r>
      <t xml:space="preserve">For details, see </t>
    </r>
    <r>
      <rPr>
        <i/>
        <sz val="10"/>
        <rFont val="Arial"/>
        <family val="2"/>
      </rPr>
      <t>Operating Expense Direct &amp; Shared</t>
    </r>
  </si>
  <si>
    <t xml:space="preserve">   Nonpersonnel: Admin/Office</t>
  </si>
  <si>
    <t xml:space="preserve">   Nonpersonnel: Program (calculated per child)</t>
  </si>
  <si>
    <t>Subtotal Other Expenses</t>
  </si>
  <si>
    <t>Asst Teacher</t>
  </si>
  <si>
    <t>Teachers</t>
  </si>
  <si>
    <t xml:space="preserve"> annual rate</t>
  </si>
  <si>
    <t>100% CPC</t>
  </si>
  <si>
    <t>SA Reallocation</t>
  </si>
  <si>
    <t>Teacher - infants</t>
  </si>
  <si>
    <t>Floater/Sub (coverage)</t>
  </si>
  <si>
    <t>Asst Teacher - program size</t>
  </si>
  <si>
    <r>
      <t xml:space="preserve">Items in </t>
    </r>
    <r>
      <rPr>
        <b/>
        <sz val="11"/>
        <rFont val="Arial"/>
        <family val="2"/>
      </rPr>
      <t>YELLOW</t>
    </r>
    <r>
      <rPr>
        <b/>
        <sz val="11"/>
        <color theme="1"/>
        <rFont val="Arial"/>
        <family val="2"/>
      </rPr>
      <t xml:space="preserve"> shaded cells are for INPUT to model different home 'profiles'.   </t>
    </r>
    <r>
      <rPr>
        <b/>
        <sz val="11"/>
        <color rgb="FFFF0000"/>
        <rFont val="Arial"/>
        <family val="2"/>
      </rPr>
      <t>PLEASE DO NOT CHANGE ANY OTHER CELLS ON THIS SHEET</t>
    </r>
  </si>
  <si>
    <t>Floater/Sub (PD)</t>
  </si>
  <si>
    <t>License-exempt</t>
  </si>
  <si>
    <t>Family Child Care Home Profile</t>
  </si>
  <si>
    <t>Program type</t>
  </si>
  <si>
    <t>Minimum wage</t>
  </si>
  <si>
    <t>Owner/Director</t>
  </si>
  <si>
    <t>Instructional Support Staff</t>
  </si>
  <si>
    <t>Teacher/ Assistant</t>
  </si>
  <si>
    <t>Coverage</t>
  </si>
  <si>
    <t>Select yes to override salaries based on step levels, and 
manually enter salaries in table to right ---------------------------------&gt;</t>
  </si>
  <si>
    <t>Program expenses</t>
  </si>
  <si>
    <t>Vehicle/other</t>
  </si>
  <si>
    <t>[Set these values on INPUT-FCC page]</t>
  </si>
  <si>
    <t>School age transportation</t>
  </si>
  <si>
    <t>part time rate</t>
  </si>
  <si>
    <t>Delaware Home-based Child Care Cost Model - 2022</t>
  </si>
  <si>
    <t>Small Home</t>
  </si>
  <si>
    <t>Large Home</t>
  </si>
  <si>
    <t>Point 3</t>
  </si>
  <si>
    <t>Point 4</t>
  </si>
  <si>
    <t>Entry</t>
  </si>
  <si>
    <t>Level 1</t>
  </si>
  <si>
    <t>Level 2</t>
  </si>
  <si>
    <t>Level 3</t>
  </si>
  <si>
    <t>Level 4</t>
  </si>
  <si>
    <t>Child care subsidy (Purchase of Care)</t>
  </si>
  <si>
    <t>PRO-FORMA BUDGET:  Delaware Child Care Center</t>
  </si>
  <si>
    <t>2020 average employer contribution to employer-based health insurance:   https://www.kff.org/other/state-indicator/single-coverage/?currentTimeframe=0&amp;sortModel=%7B%22colId%22:%22Location%22,%22sort%22:%22asc%22%7D</t>
  </si>
  <si>
    <t>2 hour per child, paid at hourly wage of floater/sub, twice per year</t>
  </si>
  <si>
    <t>Children</t>
  </si>
  <si>
    <t>Family Engagement Specialist 1/44 children</t>
  </si>
  <si>
    <t xml:space="preserve">PD hours, director/owner per year </t>
  </si>
  <si>
    <t xml:space="preserve">PD hours, teacher/assistant per year </t>
  </si>
  <si>
    <t>Release Time</t>
  </si>
  <si>
    <t>150/hour</t>
  </si>
  <si>
    <t>Materials</t>
  </si>
  <si>
    <t>Salary scale</t>
  </si>
  <si>
    <t>Family, Large Family, Relateive Care</t>
  </si>
  <si>
    <t>New Castle</t>
  </si>
  <si>
    <t>Kent</t>
  </si>
  <si>
    <t>Sussex</t>
  </si>
  <si>
    <t>Daily</t>
  </si>
  <si>
    <t>0-12months</t>
  </si>
  <si>
    <t>1-2 years</t>
  </si>
  <si>
    <t>2-5 years</t>
  </si>
  <si>
    <t>Special need</t>
  </si>
  <si>
    <t>https://www.dhss.delaware.gov/dhss/dss/childcr.html</t>
  </si>
  <si>
    <t>https://www.dhss.delaware.gov/dhss/dss/files/2021DelawareChildCareMarketRateSurvey.pdf</t>
  </si>
  <si>
    <t>POC subsidy (infants)</t>
  </si>
  <si>
    <t>POC subsidy (toddlers)</t>
  </si>
  <si>
    <t>POC subsidy (preschoolers)</t>
  </si>
  <si>
    <t>POC subsidy (school age)</t>
  </si>
  <si>
    <t>Special Needs POC subsidy (infants)</t>
  </si>
  <si>
    <t>Special Needs POC subsidy (toddlers)</t>
  </si>
  <si>
    <t>Special Needs POC subsidy (preschoolers)</t>
  </si>
  <si>
    <t>Special Needs POC subsidy (school age)</t>
  </si>
  <si>
    <t>POC special needs</t>
  </si>
  <si>
    <t>Meets Licensing Standards</t>
  </si>
  <si>
    <t>2 conf/year</t>
  </si>
  <si>
    <t>3 conf/year</t>
  </si>
  <si>
    <t>3 conf/year + FamEngage Spec</t>
  </si>
  <si>
    <t>Add. 2 hrs/wk release time</t>
  </si>
  <si>
    <t>Add. 1 hr/day release time</t>
  </si>
  <si>
    <t>3 hrs/week curriculum support</t>
  </si>
  <si>
    <t>5 hrs/week curriculum support</t>
  </si>
  <si>
    <t>Add. CC Health Consultant</t>
  </si>
  <si>
    <t>N/A</t>
  </si>
  <si>
    <t>Add. Specialized materials</t>
  </si>
  <si>
    <t>$250 per kid on IEP</t>
  </si>
  <si>
    <t>Add. $50/yr/child</t>
  </si>
  <si>
    <t>Add. $75/yr/child</t>
  </si>
  <si>
    <t>Add. $100/yr/chld</t>
  </si>
  <si>
    <t>Non-traditioal hours</t>
  </si>
  <si>
    <t>Hourly Subs</t>
  </si>
  <si>
    <t>Total Staff</t>
  </si>
  <si>
    <t>Total floater/sub hours</t>
  </si>
  <si>
    <t>https://www.federalregister.gov/documents/2021/07/07/2021-14435/child-and-adult-care-food-program-national-average-payment-rates-day-care-home-food-service-payment</t>
  </si>
  <si>
    <t>Effective from July 1, 2021 - June 30, 2022</t>
  </si>
  <si>
    <t>POC Rate Region</t>
  </si>
  <si>
    <t>SALARY SCALE LEVELS</t>
  </si>
  <si>
    <t>Current</t>
  </si>
  <si>
    <t>Non-traditional hours</t>
  </si>
  <si>
    <t>Enter number of non-traditional hours offered per week</t>
  </si>
  <si>
    <t xml:space="preserve">Additional income </t>
  </si>
  <si>
    <t>e.g. grants, donations</t>
  </si>
  <si>
    <t>RESULTS - Program Level</t>
  </si>
  <si>
    <t>Wages</t>
  </si>
  <si>
    <t>Benefits</t>
  </si>
  <si>
    <t>Total Personnel</t>
  </si>
  <si>
    <t>Quality Variables</t>
  </si>
  <si>
    <t>Select County below:</t>
  </si>
  <si>
    <t>Operating Reserve</t>
  </si>
  <si>
    <t>TOTAL EXPENSE</t>
  </si>
  <si>
    <t>INCOME</t>
  </si>
  <si>
    <t>CACFP</t>
  </si>
  <si>
    <t>POC</t>
  </si>
  <si>
    <t>Tuition</t>
  </si>
  <si>
    <t>Other income</t>
  </si>
  <si>
    <t>TOTAL INCOME</t>
  </si>
  <si>
    <t>Percent of expenses</t>
  </si>
  <si>
    <t>Admin/Office</t>
  </si>
  <si>
    <t>Program related expenses</t>
  </si>
  <si>
    <t>Gap - price and cost</t>
  </si>
  <si>
    <t>Gap - subsidy and cost</t>
  </si>
  <si>
    <t>Current Subsidy Rates</t>
  </si>
  <si>
    <t>75th percentile current market price</t>
  </si>
  <si>
    <t>Adjustment for bad debt and enrolment efficiency</t>
  </si>
  <si>
    <t>Model developed by Prenatal to Five Fiscal Strategies, February 2022. www.prenatal5fiscal.org</t>
  </si>
  <si>
    <t>Quality Enhancements: Additional Cost Drivers</t>
  </si>
  <si>
    <t>Curriculum Implementation Supports</t>
  </si>
  <si>
    <t>Educational Materials</t>
  </si>
  <si>
    <t>Inclusion Materials</t>
  </si>
  <si>
    <t>Select level</t>
  </si>
  <si>
    <t>health consultant 55720. 1/200 children</t>
  </si>
  <si>
    <t>annual salary, 1 for every 46 children</t>
  </si>
  <si>
    <t>Coach</t>
  </si>
  <si>
    <t>.25 FTE 46 center enrollment, .5 FTE if &lt;64 children, over 94 children, FT</t>
  </si>
  <si>
    <t>40 hours PD + 4 hrs/day release time + Coach</t>
  </si>
  <si>
    <t>Inclusion Supports Instructional Aide</t>
  </si>
  <si>
    <t>chose enhancement and level by the drop downs</t>
  </si>
  <si>
    <t>Comprehensive Health and Development</t>
  </si>
  <si>
    <t>(enter number of children on IEP/IFSP)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</si>
</sst>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_(&quot;$&quot;* #,##0_);_(&quot;$&quot;* \(#,##0\);_(&quot;$&quot;* &quot;-&quot;??_);_(@_)"/>
    <numFmt numFmtId="168" formatCode="&quot;$&quot;#,##0;[Red]&quot;$&quot;#,##0"/>
    <numFmt numFmtId="169" formatCode="0.0%"/>
    <numFmt numFmtId="170" formatCode="_(* #,##0_);_(* \(#,##0\);_(* &quot;-&quot;??_);_(@_)"/>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8"/>
      <name val="Arial"/>
      <family val="2"/>
    </font>
    <font>
      <u/>
      <sz val="10"/>
      <name val="Arial"/>
      <family val="2"/>
    </font>
    <font>
      <b/>
      <i/>
      <sz val="10"/>
      <name val="Arial"/>
      <family val="2"/>
    </font>
    <font>
      <sz val="10"/>
      <name val="Arial"/>
      <family val="2"/>
    </font>
    <font>
      <sz val="10"/>
      <color rgb="FFFF0000"/>
      <name val="Arial"/>
      <family val="2"/>
    </font>
    <font>
      <b/>
      <u/>
      <sz val="10"/>
      <name val="Arial"/>
      <family val="2"/>
    </font>
    <font>
      <sz val="10"/>
      <color theme="1"/>
      <name val="Arial"/>
      <family val="2"/>
    </font>
    <font>
      <b/>
      <sz val="11"/>
      <color theme="1"/>
      <name val="Arial"/>
      <family val="2"/>
    </font>
    <font>
      <sz val="10"/>
      <color rgb="FF000000"/>
      <name val="Times New Roman"/>
      <family val="1"/>
    </font>
    <font>
      <i/>
      <sz val="10"/>
      <color theme="1"/>
      <name val="Arial"/>
      <family val="2"/>
    </font>
    <font>
      <b/>
      <sz val="11"/>
      <color rgb="FFFF0000"/>
      <name val="Arial"/>
      <family val="2"/>
    </font>
    <font>
      <b/>
      <i/>
      <sz val="14"/>
      <name val="Arial"/>
      <family val="2"/>
    </font>
    <font>
      <b/>
      <u/>
      <sz val="11"/>
      <name val="Arial"/>
      <family val="2"/>
    </font>
    <font>
      <sz val="10"/>
      <color theme="0"/>
      <name val="Arial"/>
      <family val="2"/>
    </font>
    <font>
      <b/>
      <i/>
      <sz val="10"/>
      <color theme="0"/>
      <name val="Arial"/>
      <family val="2"/>
    </font>
    <font>
      <i/>
      <sz val="10"/>
      <color theme="0"/>
      <name val="Arial"/>
      <family val="2"/>
    </font>
    <font>
      <b/>
      <sz val="11"/>
      <name val="Arial"/>
      <family val="2"/>
    </font>
    <font>
      <b/>
      <sz val="10"/>
      <color theme="0"/>
      <name val="Arial"/>
      <family val="2"/>
    </font>
    <font>
      <b/>
      <sz val="10"/>
      <color rgb="FFFF0000"/>
      <name val="Arial"/>
      <family val="2"/>
    </font>
    <font>
      <b/>
      <sz val="10"/>
      <color theme="1"/>
      <name val="Arial"/>
      <family val="2"/>
    </font>
    <font>
      <b/>
      <i/>
      <sz val="12"/>
      <color theme="1"/>
      <name val="Arial"/>
      <family val="2"/>
    </font>
    <font>
      <b/>
      <i/>
      <sz val="10"/>
      <color theme="1"/>
      <name val="Arial"/>
      <family val="2"/>
    </font>
    <font>
      <b/>
      <sz val="12"/>
      <name val="Arial"/>
      <family val="2"/>
    </font>
    <font>
      <i/>
      <sz val="11"/>
      <color rgb="FFFF0000"/>
      <name val="Calibri"/>
      <family val="2"/>
      <scheme val="minor"/>
    </font>
    <font>
      <b/>
      <sz val="12"/>
      <color theme="1"/>
      <name val="Arial"/>
      <family val="2"/>
    </font>
    <font>
      <sz val="10"/>
      <color theme="0" tint="-0.249977111117893"/>
      <name val="Arial"/>
      <family val="2"/>
    </font>
    <font>
      <sz val="14"/>
      <color theme="0" tint="-0.249977111117893"/>
      <name val="Arial"/>
      <family val="2"/>
    </font>
    <font>
      <sz val="10"/>
      <color rgb="FF484848"/>
      <name val="Arial"/>
      <family val="2"/>
    </font>
    <font>
      <b/>
      <i/>
      <sz val="10"/>
      <color rgb="FFFF0000"/>
      <name val="Arial"/>
      <family val="2"/>
    </font>
    <font>
      <i/>
      <sz val="10"/>
      <color theme="5"/>
      <name val="Arial"/>
      <family val="2"/>
    </font>
    <font>
      <i/>
      <sz val="10"/>
      <color theme="0" tint="-0.499984740745262"/>
      <name val="Arial"/>
      <family val="2"/>
    </font>
    <font>
      <sz val="10"/>
      <color theme="0" tint="-4.9989318521683403E-2"/>
      <name val="Arial"/>
      <family val="2"/>
    </font>
    <font>
      <sz val="11"/>
      <name val="Arial"/>
      <family val="2"/>
    </font>
    <font>
      <i/>
      <sz val="11"/>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99CC"/>
        <bgColor indexed="64"/>
      </patternFill>
    </fill>
    <fill>
      <patternFill patternType="solid">
        <fgColor theme="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14999847407452621"/>
        <bgColor indexed="64"/>
      </patternFill>
    </fill>
    <fill>
      <patternFill patternType="solid">
        <fgColor indexed="4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theme="0" tint="-0.499984740745262"/>
      </top>
      <bottom style="thin">
        <color theme="0" tint="-0.499984740745262"/>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int="-0.499984740745262"/>
      </top>
      <bottom/>
      <diagonal/>
    </border>
    <border>
      <left style="thin">
        <color indexed="64"/>
      </left>
      <right style="thin">
        <color indexed="64"/>
      </right>
      <top/>
      <bottom style="thin">
        <color theme="0" tint="-0.499984740745262"/>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6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4" fontId="7"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7" fillId="23" borderId="7" applyNumberFormat="0" applyFont="0" applyAlignment="0" applyProtection="0"/>
    <xf numFmtId="0" fontId="26" fillId="20"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9" fontId="7" fillId="0" borderId="0" applyFont="0" applyFill="0" applyBorder="0" applyAlignment="0" applyProtection="0"/>
    <xf numFmtId="0" fontId="34" fillId="0" borderId="0"/>
    <xf numFmtId="9" fontId="34"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0" fontId="25" fillId="0" borderId="0"/>
    <xf numFmtId="44" fontId="25" fillId="0" borderId="0" applyFont="0" applyFill="0" applyBorder="0" applyAlignment="0" applyProtection="0"/>
    <xf numFmtId="43" fontId="7" fillId="0" borderId="0" applyFont="0" applyFill="0" applyBorder="0" applyAlignment="0" applyProtection="0"/>
    <xf numFmtId="0" fontId="2" fillId="0" borderId="0"/>
    <xf numFmtId="44" fontId="11" fillId="0" borderId="0" applyFont="0" applyFill="0" applyBorder="0" applyAlignment="0" applyProtection="0"/>
    <xf numFmtId="0" fontId="1" fillId="0" borderId="0"/>
    <xf numFmtId="43" fontId="1" fillId="0" borderId="0" applyFont="0" applyFill="0" applyBorder="0" applyAlignment="0" applyProtection="0"/>
    <xf numFmtId="0" fontId="39"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44" fontId="1" fillId="0" borderId="0" applyFont="0" applyFill="0" applyBorder="0" applyAlignment="0" applyProtection="0"/>
    <xf numFmtId="0" fontId="7" fillId="0" borderId="0"/>
  </cellStyleXfs>
  <cellXfs count="503">
    <xf numFmtId="0" fontId="0" fillId="0" borderId="0" xfId="0"/>
    <xf numFmtId="0" fontId="9" fillId="0" borderId="0" xfId="0" applyFont="1"/>
    <xf numFmtId="0" fontId="10" fillId="0" borderId="0" xfId="0" applyFont="1"/>
    <xf numFmtId="0" fontId="30" fillId="0" borderId="0" xfId="0" applyFont="1"/>
    <xf numFmtId="0" fontId="0" fillId="0" borderId="0" xfId="0" applyAlignment="1">
      <alignment horizontal="left"/>
    </xf>
    <xf numFmtId="6" fontId="0" fillId="0" borderId="0" xfId="0" applyNumberFormat="1"/>
    <xf numFmtId="6" fontId="7" fillId="0" borderId="0" xfId="0" applyNumberFormat="1" applyFont="1"/>
    <xf numFmtId="6" fontId="9" fillId="0" borderId="0" xfId="0" applyNumberFormat="1" applyFont="1"/>
    <xf numFmtId="2" fontId="9" fillId="0" borderId="0" xfId="0" applyNumberFormat="1" applyFont="1"/>
    <xf numFmtId="8" fontId="0" fillId="0" borderId="0" xfId="0" applyNumberFormat="1"/>
    <xf numFmtId="0" fontId="9" fillId="0" borderId="0" xfId="0" applyFont="1" applyAlignment="1">
      <alignment horizontal="right"/>
    </xf>
    <xf numFmtId="0" fontId="21" fillId="0" borderId="0" xfId="35" applyAlignment="1" applyProtection="1"/>
    <xf numFmtId="0" fontId="9" fillId="25" borderId="0" xfId="0" applyFont="1" applyFill="1"/>
    <xf numFmtId="20" fontId="0" fillId="0" borderId="0" xfId="0" quotePrefix="1" applyNumberFormat="1" applyAlignment="1">
      <alignment horizontal="right"/>
    </xf>
    <xf numFmtId="0" fontId="35" fillId="0" borderId="0" xfId="0" applyFont="1"/>
    <xf numFmtId="0" fontId="7" fillId="0" borderId="0" xfId="0" applyFont="1"/>
    <xf numFmtId="0" fontId="7" fillId="0" borderId="0" xfId="0" applyFont="1" applyFill="1"/>
    <xf numFmtId="0" fontId="7" fillId="0" borderId="0" xfId="0" quotePrefix="1" applyFont="1"/>
    <xf numFmtId="165" fontId="7" fillId="0" borderId="0" xfId="0" applyNumberFormat="1" applyFont="1" applyFill="1"/>
    <xf numFmtId="165" fontId="7" fillId="0" borderId="0" xfId="0" applyNumberFormat="1" applyFont="1"/>
    <xf numFmtId="0" fontId="7" fillId="0" borderId="0" xfId="0" applyFont="1" applyAlignment="1">
      <alignment horizontal="right"/>
    </xf>
    <xf numFmtId="8" fontId="7" fillId="0" borderId="0" xfId="0" applyNumberFormat="1" applyFont="1"/>
    <xf numFmtId="20" fontId="7" fillId="0" borderId="0" xfId="0" quotePrefix="1" applyNumberFormat="1" applyFont="1" applyAlignment="1">
      <alignment horizontal="right"/>
    </xf>
    <xf numFmtId="0" fontId="7" fillId="0" borderId="0" xfId="0" applyFont="1" applyBorder="1"/>
    <xf numFmtId="0" fontId="7" fillId="0" borderId="0" xfId="0" applyFont="1" applyAlignment="1">
      <alignment horizontal="left"/>
    </xf>
    <xf numFmtId="0" fontId="7" fillId="0" borderId="0" xfId="0" applyFont="1" applyFill="1" applyBorder="1" applyAlignment="1">
      <alignment horizontal="right"/>
    </xf>
    <xf numFmtId="44" fontId="0" fillId="0" borderId="0" xfId="0" applyNumberFormat="1"/>
    <xf numFmtId="0" fontId="0" fillId="0" borderId="18" xfId="0" applyBorder="1"/>
    <xf numFmtId="0" fontId="7" fillId="0" borderId="18" xfId="0" applyFont="1" applyBorder="1"/>
    <xf numFmtId="0" fontId="0" fillId="0" borderId="12" xfId="0" applyBorder="1"/>
    <xf numFmtId="0" fontId="0" fillId="0" borderId="0" xfId="0" applyBorder="1"/>
    <xf numFmtId="0" fontId="9" fillId="0" borderId="0" xfId="0" applyFont="1" applyFill="1" applyAlignment="1">
      <alignment horizontal="center" wrapText="1"/>
    </xf>
    <xf numFmtId="0" fontId="9" fillId="0" borderId="12" xfId="0" applyFont="1" applyBorder="1"/>
    <xf numFmtId="165" fontId="9" fillId="0" borderId="12" xfId="0" applyNumberFormat="1" applyFont="1" applyBorder="1"/>
    <xf numFmtId="0" fontId="7" fillId="28" borderId="28" xfId="0" applyFont="1" applyFill="1" applyBorder="1" applyAlignment="1">
      <alignment horizontal="right"/>
    </xf>
    <xf numFmtId="165" fontId="7" fillId="28" borderId="29" xfId="0" applyNumberFormat="1" applyFont="1" applyFill="1" applyBorder="1"/>
    <xf numFmtId="0" fontId="7" fillId="28" borderId="30" xfId="0" applyFont="1" applyFill="1" applyBorder="1" applyAlignment="1">
      <alignment horizontal="right"/>
    </xf>
    <xf numFmtId="165" fontId="0" fillId="28" borderId="31" xfId="0" applyNumberFormat="1" applyFill="1" applyBorder="1"/>
    <xf numFmtId="165" fontId="7" fillId="28" borderId="31" xfId="0" applyNumberFormat="1" applyFont="1" applyFill="1" applyBorder="1"/>
    <xf numFmtId="0" fontId="7" fillId="28" borderId="32" xfId="0" applyFont="1" applyFill="1" applyBorder="1" applyAlignment="1">
      <alignment horizontal="right"/>
    </xf>
    <xf numFmtId="0" fontId="36" fillId="28" borderId="33" xfId="0" applyFont="1" applyFill="1" applyBorder="1"/>
    <xf numFmtId="0" fontId="10" fillId="0" borderId="0" xfId="0" applyFont="1" applyAlignment="1">
      <alignment horizontal="right"/>
    </xf>
    <xf numFmtId="166" fontId="7" fillId="0" borderId="0" xfId="0" applyNumberFormat="1" applyFont="1" applyAlignment="1">
      <alignment horizontal="right"/>
    </xf>
    <xf numFmtId="0" fontId="9" fillId="0" borderId="0" xfId="0" applyFont="1" applyBorder="1" applyAlignment="1">
      <alignment horizontal="right"/>
    </xf>
    <xf numFmtId="0" fontId="8" fillId="0" borderId="0" xfId="0" applyFont="1" applyAlignment="1"/>
    <xf numFmtId="10" fontId="7" fillId="0" borderId="0" xfId="0" applyNumberFormat="1" applyFont="1" applyAlignment="1"/>
    <xf numFmtId="6" fontId="7" fillId="0" borderId="0" xfId="0" applyNumberFormat="1" applyFont="1" applyBorder="1"/>
    <xf numFmtId="0" fontId="0" fillId="0" borderId="21" xfId="0" applyBorder="1"/>
    <xf numFmtId="9" fontId="7" fillId="0" borderId="0" xfId="0" applyNumberFormat="1" applyFont="1" applyFill="1"/>
    <xf numFmtId="0" fontId="9" fillId="0" borderId="11" xfId="0" applyFont="1" applyBorder="1"/>
    <xf numFmtId="0" fontId="7" fillId="0" borderId="0" xfId="0" applyFont="1" applyBorder="1" applyAlignment="1">
      <alignment horizontal="left"/>
    </xf>
    <xf numFmtId="0" fontId="7" fillId="0" borderId="0" xfId="0" applyFont="1" applyFill="1" applyBorder="1" applyAlignment="1">
      <alignment horizontal="left"/>
    </xf>
    <xf numFmtId="1" fontId="7" fillId="0" borderId="0" xfId="0" applyNumberFormat="1" applyFont="1"/>
    <xf numFmtId="0" fontId="37" fillId="0" borderId="0" xfId="0" applyFont="1"/>
    <xf numFmtId="0" fontId="7" fillId="0" borderId="12" xfId="0" applyFont="1" applyBorder="1"/>
    <xf numFmtId="9" fontId="0" fillId="0" borderId="0" xfId="44" applyFont="1" applyFill="1" applyBorder="1"/>
    <xf numFmtId="0" fontId="7" fillId="0" borderId="0" xfId="0" applyNumberFormat="1" applyFont="1" applyFill="1" applyBorder="1"/>
    <xf numFmtId="165" fontId="7" fillId="0" borderId="12" xfId="0" applyNumberFormat="1" applyFont="1" applyFill="1" applyBorder="1"/>
    <xf numFmtId="0" fontId="0" fillId="0" borderId="0" xfId="0" applyFill="1" applyBorder="1"/>
    <xf numFmtId="0" fontId="9" fillId="0" borderId="0" xfId="0" applyFont="1" applyAlignment="1">
      <alignment wrapText="1"/>
    </xf>
    <xf numFmtId="0" fontId="7" fillId="27" borderId="37" xfId="0" applyFont="1" applyFill="1" applyBorder="1" applyAlignment="1" applyProtection="1">
      <alignment horizontal="center" vertical="center"/>
      <protection locked="0"/>
    </xf>
    <xf numFmtId="0" fontId="36" fillId="30" borderId="26" xfId="0" applyFont="1" applyFill="1" applyBorder="1"/>
    <xf numFmtId="0" fontId="7" fillId="30" borderId="22" xfId="0" applyFont="1" applyFill="1" applyBorder="1"/>
    <xf numFmtId="0" fontId="9" fillId="30" borderId="22" xfId="0" applyFont="1" applyFill="1" applyBorder="1" applyAlignment="1">
      <alignment horizontal="right"/>
    </xf>
    <xf numFmtId="0" fontId="7" fillId="0" borderId="20" xfId="0" applyFont="1" applyBorder="1"/>
    <xf numFmtId="0" fontId="7" fillId="0" borderId="0" xfId="0" quotePrefix="1" applyNumberFormat="1" applyFont="1" applyFill="1" applyBorder="1"/>
    <xf numFmtId="165" fontId="7" fillId="0" borderId="0" xfId="0" applyNumberFormat="1" applyFont="1" applyFill="1" applyBorder="1"/>
    <xf numFmtId="6" fontId="31" fillId="0" borderId="0" xfId="0" applyNumberFormat="1" applyFont="1" applyFill="1" applyBorder="1"/>
    <xf numFmtId="6" fontId="31" fillId="0" borderId="0" xfId="0" applyNumberFormat="1" applyFont="1" applyBorder="1"/>
    <xf numFmtId="8" fontId="7" fillId="0" borderId="0" xfId="0" applyNumberFormat="1" applyFont="1" applyFill="1" applyBorder="1"/>
    <xf numFmtId="165" fontId="7" fillId="0" borderId="20" xfId="0" applyNumberFormat="1" applyFont="1" applyFill="1" applyBorder="1"/>
    <xf numFmtId="0" fontId="7" fillId="0" borderId="21" xfId="28" applyNumberFormat="1" applyFont="1" applyFill="1" applyBorder="1"/>
    <xf numFmtId="165" fontId="7" fillId="0" borderId="18" xfId="0" applyNumberFormat="1" applyFont="1" applyFill="1" applyBorder="1"/>
    <xf numFmtId="0" fontId="7" fillId="0" borderId="13" xfId="28" applyNumberFormat="1" applyFont="1" applyFill="1" applyBorder="1"/>
    <xf numFmtId="165" fontId="7" fillId="0" borderId="10" xfId="0" applyNumberFormat="1" applyFont="1" applyFill="1" applyBorder="1"/>
    <xf numFmtId="6" fontId="9" fillId="0" borderId="0" xfId="0" applyNumberFormat="1" applyFont="1" applyBorder="1"/>
    <xf numFmtId="0" fontId="0" fillId="0" borderId="16" xfId="0" applyBorder="1"/>
    <xf numFmtId="0" fontId="7" fillId="0" borderId="0" xfId="0" applyFont="1" applyAlignment="1">
      <alignment horizontal="left" vertical="top" wrapText="1"/>
    </xf>
    <xf numFmtId="0" fontId="9" fillId="0" borderId="0" xfId="0" applyFont="1" applyAlignment="1">
      <alignment horizontal="left"/>
    </xf>
    <xf numFmtId="0" fontId="7" fillId="0" borderId="11" xfId="0" applyFont="1" applyFill="1" applyBorder="1" applyAlignment="1">
      <alignment horizontal="left"/>
    </xf>
    <xf numFmtId="0" fontId="9" fillId="0" borderId="12" xfId="0" applyFont="1" applyFill="1" applyBorder="1" applyAlignment="1">
      <alignment horizontal="left" vertical="center" wrapText="1"/>
    </xf>
    <xf numFmtId="0" fontId="9" fillId="0" borderId="12" xfId="0" applyFont="1" applyBorder="1" applyAlignment="1">
      <alignment horizontal="right"/>
    </xf>
    <xf numFmtId="0" fontId="9" fillId="0" borderId="12" xfId="0" applyFont="1" applyBorder="1" applyAlignment="1">
      <alignment horizontal="center" vertical="center"/>
    </xf>
    <xf numFmtId="167" fontId="0" fillId="0" borderId="12" xfId="28" applyNumberFormat="1" applyFont="1" applyBorder="1"/>
    <xf numFmtId="6" fontId="0" fillId="0" borderId="0" xfId="28" applyNumberFormat="1" applyFont="1"/>
    <xf numFmtId="6" fontId="0" fillId="0" borderId="12" xfId="0" applyNumberFormat="1" applyBorder="1"/>
    <xf numFmtId="0" fontId="0" fillId="0" borderId="13" xfId="0" applyBorder="1"/>
    <xf numFmtId="0" fontId="0" fillId="0" borderId="17" xfId="0" applyBorder="1"/>
    <xf numFmtId="167" fontId="7" fillId="0" borderId="0" xfId="28" applyNumberFormat="1" applyFont="1" applyFill="1" applyBorder="1"/>
    <xf numFmtId="167" fontId="0" fillId="0" borderId="0" xfId="28" applyNumberFormat="1" applyFont="1" applyFill="1" applyBorder="1"/>
    <xf numFmtId="167" fontId="7" fillId="0" borderId="0" xfId="28" applyNumberFormat="1" applyFont="1" applyFill="1"/>
    <xf numFmtId="0" fontId="0" fillId="0" borderId="15" xfId="0" applyBorder="1"/>
    <xf numFmtId="0" fontId="7" fillId="0" borderId="15" xfId="0" applyFont="1" applyBorder="1" applyAlignment="1">
      <alignment horizontal="center"/>
    </xf>
    <xf numFmtId="0" fontId="7" fillId="0" borderId="17" xfId="0" applyFont="1" applyBorder="1" applyAlignment="1">
      <alignment horizontal="center"/>
    </xf>
    <xf numFmtId="0" fontId="7" fillId="0" borderId="40" xfId="0" applyFont="1" applyBorder="1"/>
    <xf numFmtId="0" fontId="7" fillId="0" borderId="19" xfId="0" applyFont="1" applyBorder="1"/>
    <xf numFmtId="0" fontId="7" fillId="0" borderId="14" xfId="0" applyFont="1" applyBorder="1"/>
    <xf numFmtId="0" fontId="7" fillId="0" borderId="16" xfId="0" applyFont="1" applyBorder="1" applyAlignment="1">
      <alignment horizontal="center"/>
    </xf>
    <xf numFmtId="0" fontId="44" fillId="0" borderId="0" xfId="0" applyFont="1"/>
    <xf numFmtId="0" fontId="45" fillId="0" borderId="0" xfId="0" applyFont="1" applyAlignment="1">
      <alignment horizontal="right"/>
    </xf>
    <xf numFmtId="0" fontId="45" fillId="0" borderId="0" xfId="0" applyFont="1" applyAlignment="1">
      <alignment horizontal="left"/>
    </xf>
    <xf numFmtId="0" fontId="46" fillId="0" borderId="0" xfId="0" applyFont="1"/>
    <xf numFmtId="20" fontId="44" fillId="0" borderId="0" xfId="0" quotePrefix="1" applyNumberFormat="1" applyFont="1" applyAlignment="1">
      <alignment horizontal="right"/>
    </xf>
    <xf numFmtId="0" fontId="7" fillId="27" borderId="41" xfId="0" applyFont="1" applyFill="1" applyBorder="1" applyAlignment="1" applyProtection="1">
      <alignment horizontal="center" vertical="center"/>
      <protection locked="0"/>
    </xf>
    <xf numFmtId="0" fontId="7" fillId="27" borderId="11" xfId="0" applyFont="1" applyFill="1" applyBorder="1" applyAlignment="1" applyProtection="1">
      <alignment horizontal="center" vertical="center"/>
      <protection locked="0"/>
    </xf>
    <xf numFmtId="0" fontId="0" fillId="29" borderId="0" xfId="0" applyFill="1"/>
    <xf numFmtId="0" fontId="35" fillId="29" borderId="0" xfId="0" applyFont="1" applyFill="1" applyBorder="1"/>
    <xf numFmtId="9" fontId="0" fillId="29" borderId="0" xfId="0" applyNumberFormat="1" applyFill="1" applyBorder="1" applyAlignment="1">
      <alignment horizontal="right"/>
    </xf>
    <xf numFmtId="0" fontId="7" fillId="27" borderId="42" xfId="0" applyFont="1" applyFill="1" applyBorder="1" applyAlignment="1" applyProtection="1">
      <alignment horizontal="center" vertical="center"/>
      <protection locked="0"/>
    </xf>
    <xf numFmtId="0" fontId="7" fillId="29" borderId="12" xfId="0" applyFont="1" applyFill="1" applyBorder="1"/>
    <xf numFmtId="0" fontId="9" fillId="29" borderId="12" xfId="0" applyFont="1" applyFill="1" applyBorder="1"/>
    <xf numFmtId="167" fontId="0" fillId="29" borderId="0" xfId="28" applyNumberFormat="1" applyFont="1" applyFill="1" applyBorder="1" applyAlignment="1"/>
    <xf numFmtId="9" fontId="44" fillId="29" borderId="0" xfId="44" applyFont="1" applyFill="1" applyBorder="1"/>
    <xf numFmtId="167" fontId="44" fillId="29" borderId="0" xfId="28" applyNumberFormat="1" applyFont="1" applyFill="1" applyBorder="1" applyAlignment="1"/>
    <xf numFmtId="167" fontId="7" fillId="29" borderId="0" xfId="28" applyNumberFormat="1" applyFont="1" applyFill="1" applyBorder="1" applyAlignment="1"/>
    <xf numFmtId="9" fontId="0" fillId="29" borderId="0" xfId="44" applyFont="1" applyFill="1" applyBorder="1"/>
    <xf numFmtId="0" fontId="0" fillId="29" borderId="34" xfId="0" applyFill="1" applyBorder="1"/>
    <xf numFmtId="0" fontId="7" fillId="29" borderId="34" xfId="0" applyFont="1" applyFill="1" applyBorder="1"/>
    <xf numFmtId="0" fontId="44" fillId="29" borderId="34" xfId="0" applyFont="1" applyFill="1" applyBorder="1"/>
    <xf numFmtId="0" fontId="0" fillId="29" borderId="22" xfId="0" applyFill="1" applyBorder="1"/>
    <xf numFmtId="0" fontId="9" fillId="29" borderId="0" xfId="0" applyFont="1" applyFill="1" applyBorder="1"/>
    <xf numFmtId="0" fontId="0" fillId="29" borderId="0" xfId="0" applyFill="1" applyBorder="1"/>
    <xf numFmtId="0" fontId="7" fillId="29" borderId="0" xfId="0" applyFont="1" applyFill="1" applyBorder="1"/>
    <xf numFmtId="0" fontId="44" fillId="29" borderId="0" xfId="0" applyFont="1" applyFill="1" applyBorder="1"/>
    <xf numFmtId="0" fontId="44" fillId="29" borderId="23" xfId="0" applyFont="1" applyFill="1" applyBorder="1"/>
    <xf numFmtId="0" fontId="38" fillId="29" borderId="0" xfId="0" applyFont="1" applyFill="1" applyBorder="1"/>
    <xf numFmtId="0" fontId="45" fillId="29" borderId="0" xfId="0" applyFont="1" applyFill="1" applyBorder="1" applyAlignment="1">
      <alignment horizontal="right"/>
    </xf>
    <xf numFmtId="0" fontId="46" fillId="29" borderId="23" xfId="0" applyFont="1" applyFill="1" applyBorder="1" applyAlignment="1">
      <alignment horizontal="right"/>
    </xf>
    <xf numFmtId="0" fontId="7" fillId="0" borderId="0" xfId="0" applyFont="1" applyBorder="1" applyAlignment="1">
      <alignment horizontal="left" vertical="center" wrapText="1"/>
    </xf>
    <xf numFmtId="0" fontId="0" fillId="29" borderId="23" xfId="0" applyFill="1" applyBorder="1"/>
    <xf numFmtId="0" fontId="10" fillId="29" borderId="0" xfId="0" applyFont="1" applyFill="1" applyBorder="1"/>
    <xf numFmtId="0" fontId="9" fillId="29" borderId="0" xfId="0" applyFont="1" applyFill="1" applyBorder="1" applyAlignment="1">
      <alignment horizontal="left"/>
    </xf>
    <xf numFmtId="0" fontId="35" fillId="29" borderId="22" xfId="0" applyFont="1" applyFill="1" applyBorder="1"/>
    <xf numFmtId="0" fontId="35" fillId="29" borderId="23" xfId="0" applyFont="1" applyFill="1" applyBorder="1"/>
    <xf numFmtId="0" fontId="9" fillId="26" borderId="0" xfId="0" applyFont="1" applyFill="1" applyBorder="1" applyAlignment="1">
      <alignment horizontal="left"/>
    </xf>
    <xf numFmtId="0" fontId="9" fillId="0" borderId="0" xfId="0" applyFont="1" applyFill="1" applyBorder="1" applyAlignment="1">
      <alignment horizontal="left"/>
    </xf>
    <xf numFmtId="0" fontId="33" fillId="29" borderId="0" xfId="0" applyFont="1" applyFill="1" applyBorder="1"/>
    <xf numFmtId="0" fontId="0" fillId="29" borderId="35" xfId="0" applyFill="1" applyBorder="1"/>
    <xf numFmtId="0" fontId="10" fillId="29" borderId="18" xfId="0" applyFont="1" applyFill="1" applyBorder="1"/>
    <xf numFmtId="0" fontId="0" fillId="27" borderId="22" xfId="0" applyFill="1" applyBorder="1"/>
    <xf numFmtId="0" fontId="0" fillId="32" borderId="34" xfId="0" applyFill="1" applyBorder="1"/>
    <xf numFmtId="0" fontId="9" fillId="32" borderId="34" xfId="0" applyFont="1" applyFill="1" applyBorder="1" applyAlignment="1">
      <alignment horizontal="center" vertical="center"/>
    </xf>
    <xf numFmtId="0" fontId="9" fillId="32" borderId="27" xfId="0" applyFont="1" applyFill="1" applyBorder="1" applyAlignment="1">
      <alignment horizontal="center" vertical="center"/>
    </xf>
    <xf numFmtId="0" fontId="0" fillId="32" borderId="22" xfId="0" applyFill="1" applyBorder="1"/>
    <xf numFmtId="6" fontId="0" fillId="32" borderId="23" xfId="0" applyNumberFormat="1" applyFill="1" applyBorder="1" applyAlignment="1">
      <alignment horizontal="center" vertical="center"/>
    </xf>
    <xf numFmtId="9" fontId="44" fillId="31" borderId="22" xfId="44" applyFont="1" applyFill="1" applyBorder="1" applyAlignment="1">
      <alignment horizontal="center"/>
    </xf>
    <xf numFmtId="0" fontId="0" fillId="29" borderId="25" xfId="0" applyFill="1" applyBorder="1"/>
    <xf numFmtId="0" fontId="9" fillId="32" borderId="0" xfId="0" applyFont="1" applyFill="1"/>
    <xf numFmtId="0" fontId="48" fillId="33" borderId="0" xfId="0" applyFont="1" applyFill="1" applyAlignment="1">
      <alignment horizontal="left" vertical="top"/>
    </xf>
    <xf numFmtId="8" fontId="33" fillId="33" borderId="0" xfId="0" applyNumberFormat="1" applyFont="1" applyFill="1" applyAlignment="1">
      <alignment horizontal="left" vertical="top"/>
    </xf>
    <xf numFmtId="0" fontId="9" fillId="33" borderId="0" xfId="0" applyFont="1" applyFill="1" applyAlignment="1">
      <alignment horizontal="left" vertical="top"/>
    </xf>
    <xf numFmtId="0" fontId="9" fillId="26" borderId="0" xfId="0" applyFont="1" applyFill="1" applyBorder="1"/>
    <xf numFmtId="0" fontId="10" fillId="29" borderId="0" xfId="0" applyFont="1" applyFill="1" applyBorder="1" applyAlignment="1">
      <alignment horizontal="left"/>
    </xf>
    <xf numFmtId="0" fontId="9" fillId="26" borderId="0" xfId="0" applyFont="1" applyFill="1" applyBorder="1" applyAlignment="1">
      <alignment horizontal="left" vertical="center"/>
    </xf>
    <xf numFmtId="0" fontId="0" fillId="27" borderId="11" xfId="0" applyFill="1" applyBorder="1"/>
    <xf numFmtId="0" fontId="10" fillId="29" borderId="26" xfId="0" applyFont="1" applyFill="1" applyBorder="1"/>
    <xf numFmtId="0" fontId="9" fillId="29" borderId="27" xfId="0" applyFont="1" applyFill="1" applyBorder="1"/>
    <xf numFmtId="0" fontId="10" fillId="29" borderId="24" xfId="0" applyFont="1" applyFill="1" applyBorder="1"/>
    <xf numFmtId="0" fontId="7" fillId="29" borderId="34" xfId="0" applyFont="1" applyFill="1" applyBorder="1" applyAlignment="1">
      <alignment horizontal="right"/>
    </xf>
    <xf numFmtId="0" fontId="7" fillId="29" borderId="35" xfId="0" applyFont="1" applyFill="1" applyBorder="1" applyAlignment="1">
      <alignment horizontal="right"/>
    </xf>
    <xf numFmtId="0" fontId="33" fillId="0" borderId="11" xfId="0" applyFont="1" applyFill="1" applyBorder="1" applyAlignment="1">
      <alignment horizontal="center" vertical="center" wrapText="1"/>
    </xf>
    <xf numFmtId="0" fontId="9" fillId="0" borderId="11" xfId="0" applyFont="1" applyFill="1" applyBorder="1" applyAlignment="1">
      <alignment horizontal="center" vertical="center" wrapText="1"/>
    </xf>
    <xf numFmtId="9" fontId="0" fillId="29" borderId="25" xfId="44" applyFont="1" applyFill="1" applyBorder="1"/>
    <xf numFmtId="0" fontId="7" fillId="0" borderId="0" xfId="0" applyFont="1" applyAlignment="1">
      <alignment horizontal="right" vertical="top" wrapText="1"/>
    </xf>
    <xf numFmtId="0" fontId="7" fillId="0" borderId="0" xfId="67"/>
    <xf numFmtId="0" fontId="49" fillId="27" borderId="0" xfId="67" applyFont="1" applyFill="1"/>
    <xf numFmtId="0" fontId="7" fillId="35" borderId="0" xfId="67" applyFill="1"/>
    <xf numFmtId="0" fontId="7" fillId="0" borderId="0" xfId="67" quotePrefix="1"/>
    <xf numFmtId="0" fontId="7" fillId="0" borderId="0" xfId="67" applyAlignment="1">
      <alignment wrapText="1"/>
    </xf>
    <xf numFmtId="0" fontId="7" fillId="0" borderId="0" xfId="67" applyAlignment="1">
      <alignment horizontal="center"/>
    </xf>
    <xf numFmtId="0" fontId="7" fillId="0" borderId="0" xfId="67" applyAlignment="1">
      <alignment horizontal="center" wrapText="1"/>
    </xf>
    <xf numFmtId="8" fontId="7" fillId="0" borderId="0" xfId="67" applyNumberFormat="1"/>
    <xf numFmtId="8" fontId="7" fillId="28" borderId="0" xfId="67" applyNumberFormat="1" applyFill="1"/>
    <xf numFmtId="0" fontId="9" fillId="0" borderId="0" xfId="67" applyFont="1"/>
    <xf numFmtId="164" fontId="7" fillId="0" borderId="0" xfId="67" applyNumberFormat="1"/>
    <xf numFmtId="0" fontId="40" fillId="0" borderId="0" xfId="0" applyFont="1"/>
    <xf numFmtId="9" fontId="37" fillId="28" borderId="0" xfId="0" applyNumberFormat="1" applyFont="1" applyFill="1"/>
    <xf numFmtId="6" fontId="37" fillId="0" borderId="0" xfId="0" applyNumberFormat="1" applyFont="1"/>
    <xf numFmtId="165" fontId="37" fillId="0" borderId="0" xfId="0" applyNumberFormat="1" applyFont="1"/>
    <xf numFmtId="9" fontId="37" fillId="0" borderId="0" xfId="0" applyNumberFormat="1" applyFont="1"/>
    <xf numFmtId="6" fontId="50" fillId="0" borderId="0" xfId="0" applyNumberFormat="1" applyFont="1"/>
    <xf numFmtId="0" fontId="37" fillId="0" borderId="0" xfId="0" quotePrefix="1" applyFont="1"/>
    <xf numFmtId="0" fontId="37" fillId="34" borderId="0" xfId="0" applyFont="1" applyFill="1"/>
    <xf numFmtId="168" fontId="50" fillId="34" borderId="0" xfId="0" applyNumberFormat="1" applyFont="1" applyFill="1"/>
    <xf numFmtId="169" fontId="37" fillId="34" borderId="0" xfId="0" applyNumberFormat="1" applyFont="1" applyFill="1"/>
    <xf numFmtId="8" fontId="37" fillId="0" borderId="0" xfId="0" applyNumberFormat="1" applyFont="1"/>
    <xf numFmtId="167" fontId="37" fillId="0" borderId="0" xfId="28" applyNumberFormat="1" applyFont="1" applyAlignment="1">
      <alignment horizontal="center" vertical="center"/>
    </xf>
    <xf numFmtId="167" fontId="37" fillId="0" borderId="0" xfId="28" applyNumberFormat="1" applyFont="1" applyFill="1" applyAlignment="1">
      <alignment horizontal="center" vertical="center" wrapText="1"/>
    </xf>
    <xf numFmtId="6" fontId="37" fillId="0" borderId="0" xfId="0" applyNumberFormat="1" applyFont="1" applyFill="1"/>
    <xf numFmtId="0" fontId="37" fillId="0" borderId="0" xfId="0" applyFont="1" applyFill="1"/>
    <xf numFmtId="9" fontId="37" fillId="0" borderId="0" xfId="0" applyNumberFormat="1" applyFont="1" applyFill="1"/>
    <xf numFmtId="6" fontId="37" fillId="0" borderId="0" xfId="28" applyNumberFormat="1" applyFont="1" applyFill="1" applyAlignment="1">
      <alignment horizontal="right" vertical="center"/>
    </xf>
    <xf numFmtId="167" fontId="37" fillId="0" borderId="0" xfId="28" applyNumberFormat="1" applyFont="1" applyAlignment="1">
      <alignment horizontal="right" vertical="center"/>
    </xf>
    <xf numFmtId="0" fontId="37" fillId="0" borderId="0" xfId="0" applyFont="1" applyAlignment="1">
      <alignment wrapText="1"/>
    </xf>
    <xf numFmtId="167" fontId="37" fillId="0" borderId="0" xfId="44" applyNumberFormat="1" applyFont="1" applyFill="1"/>
    <xf numFmtId="0" fontId="37" fillId="29" borderId="0" xfId="0" applyFont="1" applyFill="1" applyBorder="1"/>
    <xf numFmtId="0" fontId="10" fillId="0" borderId="10" xfId="0" applyFont="1" applyBorder="1" applyAlignment="1">
      <alignment horizontal="right"/>
    </xf>
    <xf numFmtId="0" fontId="37" fillId="29" borderId="0" xfId="0" applyFont="1" applyFill="1" applyBorder="1" applyAlignment="1">
      <alignment horizontal="right"/>
    </xf>
    <xf numFmtId="9" fontId="37" fillId="29" borderId="0" xfId="0" applyNumberFormat="1" applyFont="1" applyFill="1" applyBorder="1"/>
    <xf numFmtId="9" fontId="37" fillId="29" borderId="0" xfId="44" applyFont="1" applyFill="1" applyBorder="1"/>
    <xf numFmtId="0" fontId="37" fillId="29" borderId="0" xfId="0" applyFont="1" applyFill="1" applyBorder="1" applyAlignment="1" applyProtection="1">
      <alignment vertical="center"/>
    </xf>
    <xf numFmtId="0" fontId="0" fillId="34" borderId="27" xfId="0" applyFill="1" applyBorder="1"/>
    <xf numFmtId="0" fontId="0" fillId="34" borderId="22" xfId="0" applyFill="1" applyBorder="1"/>
    <xf numFmtId="0" fontId="35" fillId="34" borderId="22" xfId="0" applyFont="1" applyFill="1" applyBorder="1"/>
    <xf numFmtId="167" fontId="7" fillId="34" borderId="0" xfId="28" applyNumberFormat="1" applyFont="1" applyFill="1" applyBorder="1" applyAlignment="1">
      <alignment horizontal="right"/>
    </xf>
    <xf numFmtId="0" fontId="9" fillId="34" borderId="0" xfId="0" applyFont="1" applyFill="1" applyBorder="1" applyAlignment="1">
      <alignment horizontal="right"/>
    </xf>
    <xf numFmtId="0" fontId="36" fillId="34" borderId="26" xfId="0" applyFont="1" applyFill="1" applyBorder="1" applyAlignment="1">
      <alignment horizontal="left" vertical="top"/>
    </xf>
    <xf numFmtId="0" fontId="0" fillId="34" borderId="34" xfId="0" applyFill="1" applyBorder="1"/>
    <xf numFmtId="167" fontId="0" fillId="27" borderId="11" xfId="28" applyNumberFormat="1" applyFont="1" applyFill="1" applyBorder="1"/>
    <xf numFmtId="44" fontId="0" fillId="27" borderId="11" xfId="28" applyFont="1" applyFill="1" applyBorder="1"/>
    <xf numFmtId="44" fontId="0" fillId="27" borderId="11" xfId="28" applyFont="1" applyFill="1" applyBorder="1" applyAlignment="1">
      <alignment horizontal="right"/>
    </xf>
    <xf numFmtId="44" fontId="7" fillId="27" borderId="11" xfId="28" applyFont="1" applyFill="1" applyBorder="1" applyAlignment="1">
      <alignment horizontal="right"/>
    </xf>
    <xf numFmtId="0" fontId="7" fillId="0" borderId="0" xfId="0" applyFont="1" applyAlignment="1">
      <alignment horizontal="left" vertical="top"/>
    </xf>
    <xf numFmtId="0" fontId="7" fillId="24" borderId="0" xfId="0" applyFont="1" applyFill="1"/>
    <xf numFmtId="0" fontId="7" fillId="28" borderId="0" xfId="0" applyFont="1" applyFill="1"/>
    <xf numFmtId="0" fontId="7" fillId="25" borderId="0" xfId="0" applyFont="1" applyFill="1"/>
    <xf numFmtId="0" fontId="7" fillId="26" borderId="0" xfId="0" applyFont="1" applyFill="1"/>
    <xf numFmtId="6" fontId="7" fillId="28" borderId="0" xfId="0" applyNumberFormat="1" applyFont="1" applyFill="1"/>
    <xf numFmtId="9" fontId="7" fillId="24" borderId="0" xfId="0" applyNumberFormat="1" applyFont="1" applyFill="1"/>
    <xf numFmtId="9" fontId="7" fillId="0" borderId="0" xfId="0" applyNumberFormat="1" applyFont="1"/>
    <xf numFmtId="44" fontId="7" fillId="0" borderId="0" xfId="0" applyNumberFormat="1" applyFont="1"/>
    <xf numFmtId="0" fontId="21" fillId="0" borderId="0" xfId="35" applyFont="1" applyAlignment="1" applyProtection="1"/>
    <xf numFmtId="0" fontId="7" fillId="30" borderId="27" xfId="0" applyFont="1" applyFill="1" applyBorder="1"/>
    <xf numFmtId="44" fontId="7" fillId="30" borderId="23" xfId="28" applyFont="1" applyFill="1" applyBorder="1"/>
    <xf numFmtId="44" fontId="7" fillId="30" borderId="38" xfId="28" applyFont="1" applyFill="1" applyBorder="1"/>
    <xf numFmtId="0" fontId="7" fillId="30" borderId="24" xfId="0" applyFont="1" applyFill="1" applyBorder="1"/>
    <xf numFmtId="44" fontId="7" fillId="30" borderId="25" xfId="0" applyNumberFormat="1" applyFont="1" applyFill="1" applyBorder="1"/>
    <xf numFmtId="43" fontId="7" fillId="0" borderId="0" xfId="61" applyFont="1"/>
    <xf numFmtId="43" fontId="7" fillId="27" borderId="0" xfId="61" applyFont="1" applyFill="1"/>
    <xf numFmtId="8" fontId="7" fillId="30" borderId="23" xfId="28" applyNumberFormat="1" applyFont="1" applyFill="1" applyBorder="1"/>
    <xf numFmtId="167" fontId="37" fillId="0" borderId="0" xfId="28" applyNumberFormat="1" applyFont="1" applyFill="1"/>
    <xf numFmtId="44" fontId="37" fillId="0" borderId="0" xfId="0" applyNumberFormat="1" applyFont="1" applyFill="1" applyAlignment="1">
      <alignment wrapText="1"/>
    </xf>
    <xf numFmtId="167" fontId="40" fillId="0" borderId="0" xfId="44" applyNumberFormat="1" applyFont="1" applyFill="1"/>
    <xf numFmtId="1" fontId="32" fillId="0" borderId="0" xfId="0" applyNumberFormat="1" applyFont="1"/>
    <xf numFmtId="165" fontId="9" fillId="0" borderId="36" xfId="0" applyNumberFormat="1" applyFont="1" applyBorder="1"/>
    <xf numFmtId="43" fontId="37" fillId="0" borderId="0" xfId="61" applyFont="1"/>
    <xf numFmtId="0" fontId="44" fillId="0" borderId="0" xfId="0" applyFont="1" applyAlignment="1" applyProtection="1">
      <alignment vertical="top" wrapText="1"/>
      <protection hidden="1"/>
    </xf>
    <xf numFmtId="9" fontId="44" fillId="29" borderId="0" xfId="44" applyFont="1" applyFill="1" applyBorder="1" applyAlignment="1">
      <alignment horizontal="center"/>
    </xf>
    <xf numFmtId="2" fontId="0" fillId="0" borderId="11" xfId="28" applyNumberFormat="1" applyFont="1" applyFill="1" applyBorder="1"/>
    <xf numFmtId="44" fontId="7" fillId="0" borderId="0" xfId="28" applyFont="1" applyFill="1"/>
    <xf numFmtId="0" fontId="7" fillId="0" borderId="0" xfId="63"/>
    <xf numFmtId="0" fontId="51" fillId="0" borderId="0" xfId="63" applyFont="1" applyAlignment="1">
      <alignment wrapText="1"/>
    </xf>
    <xf numFmtId="0" fontId="52" fillId="0" borderId="0" xfId="63" applyFont="1"/>
    <xf numFmtId="164" fontId="44" fillId="0" borderId="0" xfId="63" applyNumberFormat="1" applyFont="1"/>
    <xf numFmtId="1" fontId="7" fillId="0" borderId="0" xfId="63" applyNumberFormat="1"/>
    <xf numFmtId="8" fontId="7" fillId="0" borderId="0" xfId="63" applyNumberFormat="1"/>
    <xf numFmtId="9" fontId="7" fillId="0" borderId="0" xfId="63" applyNumberFormat="1"/>
    <xf numFmtId="6" fontId="7" fillId="0" borderId="0" xfId="63" applyNumberFormat="1"/>
    <xf numFmtId="0" fontId="53" fillId="0" borderId="35" xfId="63" applyFont="1" applyBorder="1" applyAlignment="1">
      <alignment wrapText="1"/>
    </xf>
    <xf numFmtId="0" fontId="9" fillId="0" borderId="35" xfId="63" applyFont="1" applyBorder="1"/>
    <xf numFmtId="0" fontId="7" fillId="0" borderId="35" xfId="63" applyBorder="1"/>
    <xf numFmtId="0" fontId="53" fillId="0" borderId="0" xfId="63" applyFont="1" applyAlignment="1">
      <alignment wrapText="1"/>
    </xf>
    <xf numFmtId="0" fontId="9" fillId="0" borderId="0" xfId="63" applyFont="1"/>
    <xf numFmtId="0" fontId="33" fillId="0" borderId="0" xfId="63" applyFont="1" applyAlignment="1">
      <alignment horizontal="center"/>
    </xf>
    <xf numFmtId="0" fontId="7" fillId="0" borderId="0" xfId="61" applyNumberFormat="1" applyFont="1" applyBorder="1"/>
    <xf numFmtId="0" fontId="7" fillId="0" borderId="0" xfId="63" applyAlignment="1">
      <alignment wrapText="1"/>
    </xf>
    <xf numFmtId="44" fontId="7" fillId="0" borderId="0" xfId="28"/>
    <xf numFmtId="0" fontId="7" fillId="0" borderId="0" xfId="63" applyAlignment="1">
      <alignment horizontal="center"/>
    </xf>
    <xf numFmtId="44" fontId="7" fillId="0" borderId="0" xfId="66" applyFont="1" applyBorder="1"/>
    <xf numFmtId="0" fontId="7" fillId="0" borderId="0" xfId="61" applyNumberFormat="1" applyFont="1" applyFill="1" applyBorder="1"/>
    <xf numFmtId="0" fontId="1" fillId="0" borderId="0" xfId="60"/>
    <xf numFmtId="0" fontId="54" fillId="0" borderId="0" xfId="60" applyFont="1"/>
    <xf numFmtId="43" fontId="7" fillId="0" borderId="12" xfId="61" applyFont="1" applyBorder="1"/>
    <xf numFmtId="0" fontId="9" fillId="0" borderId="0" xfId="63" applyFont="1" applyAlignment="1">
      <alignment horizontal="right"/>
    </xf>
    <xf numFmtId="0" fontId="7" fillId="0" borderId="12" xfId="63" applyBorder="1"/>
    <xf numFmtId="0" fontId="9" fillId="0" borderId="0" xfId="63" applyFont="1" applyAlignment="1">
      <alignment wrapText="1"/>
    </xf>
    <xf numFmtId="0" fontId="36" fillId="0" borderId="0" xfId="63" applyFont="1"/>
    <xf numFmtId="165" fontId="7" fillId="0" borderId="0" xfId="63" applyNumberFormat="1"/>
    <xf numFmtId="10" fontId="7" fillId="0" borderId="0" xfId="63" applyNumberFormat="1"/>
    <xf numFmtId="43" fontId="7" fillId="0" borderId="0" xfId="63" applyNumberFormat="1"/>
    <xf numFmtId="165" fontId="9" fillId="0" borderId="0" xfId="63" applyNumberFormat="1" applyFont="1"/>
    <xf numFmtId="0" fontId="7" fillId="0" borderId="0" xfId="63" applyAlignment="1">
      <alignment horizontal="right"/>
    </xf>
    <xf numFmtId="164" fontId="7" fillId="0" borderId="0" xfId="63" applyNumberFormat="1"/>
    <xf numFmtId="164" fontId="7" fillId="0" borderId="0" xfId="63" applyNumberFormat="1" applyAlignment="1">
      <alignment horizontal="right"/>
    </xf>
    <xf numFmtId="0" fontId="9" fillId="0" borderId="0" xfId="63" applyFont="1" applyAlignment="1">
      <alignment horizontal="right" wrapText="1"/>
    </xf>
    <xf numFmtId="10" fontId="9" fillId="0" borderId="12" xfId="63" applyNumberFormat="1" applyFont="1" applyBorder="1"/>
    <xf numFmtId="165" fontId="9" fillId="0" borderId="12" xfId="63" applyNumberFormat="1" applyFont="1" applyBorder="1"/>
    <xf numFmtId="2" fontId="7" fillId="0" borderId="0" xfId="63" applyNumberFormat="1"/>
    <xf numFmtId="0" fontId="7" fillId="0" borderId="0" xfId="63" applyAlignment="1">
      <alignment horizontal="left" wrapText="1"/>
    </xf>
    <xf numFmtId="44" fontId="7" fillId="27" borderId="0" xfId="28" applyFill="1" applyAlignment="1">
      <alignment horizontal="left"/>
    </xf>
    <xf numFmtId="0" fontId="7" fillId="0" borderId="0" xfId="63" applyAlignment="1">
      <alignment horizontal="left"/>
    </xf>
    <xf numFmtId="165" fontId="7" fillId="0" borderId="12" xfId="63" applyNumberFormat="1" applyBorder="1"/>
    <xf numFmtId="5" fontId="7" fillId="0" borderId="0" xfId="63" applyNumberFormat="1"/>
    <xf numFmtId="0" fontId="55" fillId="0" borderId="35" xfId="63" applyFont="1" applyBorder="1" applyAlignment="1">
      <alignment wrapText="1"/>
    </xf>
    <xf numFmtId="0" fontId="50" fillId="0" borderId="35" xfId="63" applyFont="1" applyBorder="1"/>
    <xf numFmtId="165" fontId="7" fillId="0" borderId="35" xfId="63" applyNumberFormat="1" applyBorder="1"/>
    <xf numFmtId="0" fontId="37" fillId="0" borderId="0" xfId="63" applyFont="1" applyAlignment="1">
      <alignment wrapText="1"/>
    </xf>
    <xf numFmtId="167" fontId="7" fillId="29" borderId="34" xfId="28" applyNumberFormat="1" applyFont="1" applyFill="1" applyBorder="1" applyAlignment="1">
      <alignment horizontal="right"/>
    </xf>
    <xf numFmtId="44" fontId="0" fillId="29" borderId="0" xfId="28" applyFont="1" applyFill="1" applyBorder="1"/>
    <xf numFmtId="167" fontId="7" fillId="34" borderId="13" xfId="28" applyNumberFormat="1" applyFont="1" applyFill="1" applyBorder="1" applyAlignment="1">
      <alignment horizontal="right"/>
    </xf>
    <xf numFmtId="0" fontId="7" fillId="0" borderId="40" xfId="0" applyFont="1" applyFill="1" applyBorder="1" applyAlignment="1">
      <alignment horizontal="left"/>
    </xf>
    <xf numFmtId="0" fontId="7" fillId="0" borderId="19" xfId="0" applyFont="1" applyFill="1" applyBorder="1" applyAlignment="1">
      <alignment horizontal="left"/>
    </xf>
    <xf numFmtId="0" fontId="9" fillId="0" borderId="14" xfId="0" applyFont="1" applyFill="1" applyBorder="1" applyAlignment="1">
      <alignment horizontal="left"/>
    </xf>
    <xf numFmtId="0" fontId="40" fillId="0" borderId="13" xfId="0" applyFont="1" applyFill="1" applyBorder="1" applyAlignment="1">
      <alignment horizontal="right" vertical="center"/>
    </xf>
    <xf numFmtId="0" fontId="7" fillId="0" borderId="19" xfId="0" applyFont="1" applyFill="1" applyBorder="1" applyAlignment="1">
      <alignment horizontal="right"/>
    </xf>
    <xf numFmtId="0" fontId="7" fillId="0" borderId="14" xfId="0" applyFont="1" applyFill="1" applyBorder="1" applyAlignment="1">
      <alignment horizontal="right"/>
    </xf>
    <xf numFmtId="167" fontId="7" fillId="0" borderId="0" xfId="28" applyNumberFormat="1"/>
    <xf numFmtId="44" fontId="10" fillId="0" borderId="39" xfId="0" applyNumberFormat="1" applyFont="1" applyBorder="1"/>
    <xf numFmtId="43" fontId="10" fillId="0" borderId="0" xfId="0" applyNumberFormat="1" applyFont="1"/>
    <xf numFmtId="9" fontId="7" fillId="0" borderId="13" xfId="44" applyFont="1" applyFill="1" applyBorder="1"/>
    <xf numFmtId="165" fontId="7" fillId="0" borderId="36" xfId="0" applyNumberFormat="1" applyFont="1" applyFill="1" applyBorder="1"/>
    <xf numFmtId="0" fontId="7" fillId="0" borderId="17" xfId="28" applyNumberFormat="1" applyFont="1" applyFill="1" applyBorder="1"/>
    <xf numFmtId="165" fontId="7" fillId="0" borderId="12" xfId="0" applyNumberFormat="1" applyFont="1" applyFill="1" applyBorder="1" applyAlignment="1">
      <alignment horizontal="right"/>
    </xf>
    <xf numFmtId="0" fontId="7" fillId="0" borderId="13" xfId="0" applyFont="1" applyBorder="1"/>
    <xf numFmtId="167" fontId="9" fillId="0" borderId="12" xfId="28" applyNumberFormat="1" applyFont="1" applyFill="1" applyBorder="1"/>
    <xf numFmtId="0" fontId="56" fillId="0" borderId="20" xfId="0" applyFont="1" applyBorder="1"/>
    <xf numFmtId="0" fontId="56" fillId="0" borderId="21" xfId="0" applyFont="1" applyBorder="1"/>
    <xf numFmtId="0" fontId="56" fillId="0" borderId="0" xfId="0" applyFont="1"/>
    <xf numFmtId="8" fontId="56" fillId="0" borderId="0" xfId="0" applyNumberFormat="1" applyFont="1"/>
    <xf numFmtId="164" fontId="56" fillId="0" borderId="18" xfId="0" applyNumberFormat="1" applyFont="1" applyBorder="1"/>
    <xf numFmtId="164" fontId="56" fillId="0" borderId="13" xfId="0" applyNumberFormat="1" applyFont="1" applyBorder="1"/>
    <xf numFmtId="0" fontId="57" fillId="0" borderId="0" xfId="0" applyFont="1"/>
    <xf numFmtId="164" fontId="56" fillId="0" borderId="15" xfId="0" applyNumberFormat="1" applyFont="1" applyBorder="1"/>
    <xf numFmtId="164" fontId="56" fillId="0" borderId="16" xfId="0" applyNumberFormat="1" applyFont="1" applyBorder="1"/>
    <xf numFmtId="164" fontId="56" fillId="0" borderId="39" xfId="0" applyNumberFormat="1" applyFont="1" applyBorder="1"/>
    <xf numFmtId="10" fontId="7" fillId="27" borderId="0" xfId="63" applyNumberFormat="1" applyFill="1"/>
    <xf numFmtId="9" fontId="44" fillId="29" borderId="22" xfId="44" applyFont="1" applyFill="1" applyBorder="1" applyAlignment="1">
      <alignment horizontal="center"/>
    </xf>
    <xf numFmtId="0" fontId="38" fillId="29" borderId="11" xfId="0" applyFont="1" applyFill="1" applyBorder="1" applyAlignment="1">
      <alignment vertical="center"/>
    </xf>
    <xf numFmtId="0" fontId="9" fillId="0" borderId="13" xfId="0" applyFont="1" applyFill="1" applyBorder="1"/>
    <xf numFmtId="164" fontId="0" fillId="0" borderId="0" xfId="0" applyNumberFormat="1"/>
    <xf numFmtId="0" fontId="35" fillId="29" borderId="0" xfId="0" applyFont="1" applyFill="1"/>
    <xf numFmtId="0" fontId="0" fillId="34" borderId="24" xfId="0" applyFill="1" applyBorder="1"/>
    <xf numFmtId="0" fontId="60" fillId="0" borderId="0" xfId="0" applyFont="1"/>
    <xf numFmtId="0" fontId="7" fillId="0" borderId="11" xfId="0" applyFont="1" applyBorder="1" applyAlignment="1">
      <alignment horizontal="left"/>
    </xf>
    <xf numFmtId="167" fontId="35" fillId="27" borderId="11" xfId="28" applyNumberFormat="1" applyFont="1" applyFill="1" applyBorder="1"/>
    <xf numFmtId="44" fontId="0" fillId="0" borderId="0" xfId="28" applyFont="1" applyFill="1" applyBorder="1"/>
    <xf numFmtId="167" fontId="7" fillId="27" borderId="11" xfId="28" applyNumberFormat="1" applyFont="1" applyFill="1" applyBorder="1"/>
    <xf numFmtId="0" fontId="60" fillId="0" borderId="0" xfId="0" applyFont="1" applyAlignment="1">
      <alignment horizontal="left"/>
    </xf>
    <xf numFmtId="44" fontId="7" fillId="27" borderId="11" xfId="28" applyFont="1" applyFill="1" applyBorder="1"/>
    <xf numFmtId="0" fontId="40" fillId="29" borderId="0" xfId="0" applyFont="1" applyFill="1" applyBorder="1" applyAlignment="1">
      <alignment horizontal="right" vertical="center"/>
    </xf>
    <xf numFmtId="0" fontId="44" fillId="29" borderId="0" xfId="0" applyFont="1" applyFill="1" applyBorder="1" applyAlignment="1">
      <alignment horizontal="center"/>
    </xf>
    <xf numFmtId="0" fontId="9" fillId="29" borderId="0" xfId="0" applyFont="1" applyFill="1" applyBorder="1" applyAlignment="1">
      <alignment horizontal="center"/>
    </xf>
    <xf numFmtId="9" fontId="7" fillId="27" borderId="0" xfId="0" applyNumberFormat="1" applyFont="1" applyFill="1"/>
    <xf numFmtId="44" fontId="1" fillId="0" borderId="0" xfId="60" applyNumberFormat="1"/>
    <xf numFmtId="0" fontId="44" fillId="0" borderId="22" xfId="0" applyFont="1" applyFill="1" applyBorder="1"/>
    <xf numFmtId="0" fontId="59" fillId="29" borderId="0" xfId="0" applyFont="1" applyFill="1" applyBorder="1" applyAlignment="1">
      <alignment horizontal="left" vertical="center"/>
    </xf>
    <xf numFmtId="0" fontId="50" fillId="0" borderId="0" xfId="0" applyFont="1"/>
    <xf numFmtId="6" fontId="9" fillId="0" borderId="12" xfId="0" applyNumberFormat="1" applyFont="1" applyBorder="1"/>
    <xf numFmtId="165" fontId="9" fillId="0" borderId="12" xfId="63" applyNumberFormat="1" applyFont="1" applyBorder="1" applyAlignment="1">
      <alignment horizontal="right"/>
    </xf>
    <xf numFmtId="166" fontId="0" fillId="0" borderId="0" xfId="0" applyNumberFormat="1"/>
    <xf numFmtId="166" fontId="0" fillId="0" borderId="0" xfId="0" applyNumberFormat="1" applyBorder="1"/>
    <xf numFmtId="0" fontId="61" fillId="0" borderId="0" xfId="0" applyFont="1" applyAlignment="1">
      <alignment vertical="top"/>
    </xf>
    <xf numFmtId="0" fontId="7" fillId="0" borderId="0" xfId="0" applyFont="1" applyFill="1" applyAlignment="1">
      <alignment horizontal="center"/>
    </xf>
    <xf numFmtId="44" fontId="0" fillId="27" borderId="18" xfId="28" applyFont="1" applyFill="1" applyBorder="1" applyAlignment="1">
      <alignment horizontal="right"/>
    </xf>
    <xf numFmtId="0" fontId="40" fillId="0" borderId="13" xfId="0" applyFont="1" applyBorder="1" applyAlignment="1">
      <alignment horizontal="right" vertical="center"/>
    </xf>
    <xf numFmtId="0" fontId="10" fillId="29" borderId="18" xfId="0" applyFont="1" applyFill="1" applyBorder="1" applyAlignment="1">
      <alignment horizontal="left"/>
    </xf>
    <xf numFmtId="0" fontId="10" fillId="29" borderId="0" xfId="0" applyFont="1" applyFill="1" applyBorder="1" applyAlignment="1">
      <alignment horizontal="left"/>
    </xf>
    <xf numFmtId="8" fontId="0" fillId="0" borderId="12" xfId="0" applyNumberFormat="1" applyBorder="1"/>
    <xf numFmtId="0" fontId="9" fillId="0" borderId="0" xfId="0" applyFont="1" applyFill="1"/>
    <xf numFmtId="0" fontId="37" fillId="0" borderId="20" xfId="0" applyFont="1" applyBorder="1" applyAlignment="1">
      <alignment vertical="top"/>
    </xf>
    <xf numFmtId="0" fontId="37" fillId="0" borderId="21" xfId="0" applyFont="1" applyBorder="1" applyAlignment="1">
      <alignment vertical="top"/>
    </xf>
    <xf numFmtId="0" fontId="37" fillId="0" borderId="20" xfId="0" applyFont="1" applyBorder="1" applyAlignment="1"/>
    <xf numFmtId="0" fontId="37" fillId="0" borderId="21" xfId="0" applyFont="1" applyBorder="1" applyAlignment="1"/>
    <xf numFmtId="0" fontId="37" fillId="0" borderId="15" xfId="0" applyFont="1" applyBorder="1" applyAlignment="1">
      <alignment horizontal="center"/>
    </xf>
    <xf numFmtId="0" fontId="37" fillId="0" borderId="17" xfId="0" applyFont="1" applyBorder="1" applyAlignment="1">
      <alignment horizontal="center"/>
    </xf>
    <xf numFmtId="0" fontId="37" fillId="0" borderId="40" xfId="0" applyFont="1" applyBorder="1"/>
    <xf numFmtId="0" fontId="37" fillId="0" borderId="18" xfId="0" applyFont="1" applyBorder="1"/>
    <xf numFmtId="0" fontId="37" fillId="0" borderId="13" xfId="0" applyFont="1" applyBorder="1"/>
    <xf numFmtId="2" fontId="37" fillId="0" borderId="18" xfId="0" applyNumberFormat="1" applyFont="1" applyBorder="1"/>
    <xf numFmtId="0" fontId="37" fillId="0" borderId="19" xfId="0" applyFont="1" applyBorder="1"/>
    <xf numFmtId="2" fontId="7" fillId="0" borderId="18" xfId="0" applyNumberFormat="1" applyFont="1" applyBorder="1"/>
    <xf numFmtId="166" fontId="7" fillId="0" borderId="18" xfId="0" applyNumberFormat="1" applyFont="1" applyBorder="1"/>
    <xf numFmtId="164" fontId="7" fillId="0" borderId="0" xfId="0" applyNumberFormat="1" applyFont="1" applyFill="1"/>
    <xf numFmtId="167" fontId="10" fillId="29" borderId="0" xfId="28" applyNumberFormat="1" applyFont="1" applyFill="1" applyBorder="1" applyAlignment="1"/>
    <xf numFmtId="0" fontId="9" fillId="0" borderId="0" xfId="0" applyFont="1" applyFill="1" applyBorder="1"/>
    <xf numFmtId="0" fontId="44" fillId="0" borderId="0" xfId="0" applyFont="1" applyFill="1" applyBorder="1"/>
    <xf numFmtId="0" fontId="62" fillId="0" borderId="0" xfId="0" applyFont="1"/>
    <xf numFmtId="44" fontId="35" fillId="0" borderId="0" xfId="66" applyFont="1" applyBorder="1"/>
    <xf numFmtId="164" fontId="0" fillId="0" borderId="0" xfId="0" applyNumberFormat="1" applyBorder="1"/>
    <xf numFmtId="6" fontId="0" fillId="0" borderId="0" xfId="0" applyNumberFormat="1" applyBorder="1"/>
    <xf numFmtId="167" fontId="0" fillId="0" borderId="0" xfId="28" applyNumberFormat="1" applyFont="1" applyBorder="1"/>
    <xf numFmtId="43" fontId="9" fillId="0" borderId="0" xfId="61" applyFont="1" applyFill="1" applyBorder="1"/>
    <xf numFmtId="0" fontId="7" fillId="0" borderId="12" xfId="63" applyBorder="1" applyAlignment="1">
      <alignment wrapText="1"/>
    </xf>
    <xf numFmtId="0" fontId="7" fillId="0" borderId="12" xfId="63" applyFill="1" applyBorder="1" applyAlignment="1">
      <alignment wrapText="1"/>
    </xf>
    <xf numFmtId="167" fontId="7" fillId="0" borderId="0" xfId="28" applyNumberFormat="1" applyFont="1" applyBorder="1"/>
    <xf numFmtId="167" fontId="9" fillId="0" borderId="12" xfId="28" applyNumberFormat="1" applyFont="1" applyBorder="1"/>
    <xf numFmtId="170" fontId="7" fillId="0" borderId="0" xfId="61" applyNumberFormat="1" applyFont="1" applyFill="1" applyBorder="1"/>
    <xf numFmtId="170" fontId="7" fillId="0" borderId="12" xfId="0" applyNumberFormat="1" applyFont="1" applyBorder="1"/>
    <xf numFmtId="164" fontId="56" fillId="0" borderId="0" xfId="0" applyNumberFormat="1" applyFont="1"/>
    <xf numFmtId="164" fontId="57" fillId="0" borderId="0" xfId="0" applyNumberFormat="1" applyFont="1"/>
    <xf numFmtId="164" fontId="7" fillId="0" borderId="0" xfId="0" applyNumberFormat="1" applyFont="1" applyFill="1" applyProtection="1">
      <protection locked="0"/>
    </xf>
    <xf numFmtId="0" fontId="7" fillId="29" borderId="0" xfId="0" applyFont="1" applyFill="1" applyBorder="1" applyAlignment="1">
      <alignment horizontal="left"/>
    </xf>
    <xf numFmtId="0" fontId="37" fillId="29" borderId="0" xfId="0" applyFont="1" applyFill="1" applyBorder="1" applyAlignment="1">
      <alignment horizontal="left"/>
    </xf>
    <xf numFmtId="0" fontId="36" fillId="29" borderId="0" xfId="0" applyFont="1" applyFill="1" applyBorder="1"/>
    <xf numFmtId="0" fontId="7" fillId="29" borderId="0" xfId="0" applyFont="1" applyFill="1" applyBorder="1" applyAlignment="1">
      <alignment horizontal="left" vertical="top"/>
    </xf>
    <xf numFmtId="0" fontId="37" fillId="29" borderId="0" xfId="0" applyFont="1" applyFill="1" applyBorder="1" applyAlignment="1">
      <alignment horizontal="left" vertical="top"/>
    </xf>
    <xf numFmtId="14" fontId="44" fillId="29" borderId="34" xfId="0" applyNumberFormat="1" applyFont="1" applyFill="1" applyBorder="1" applyAlignment="1">
      <alignment horizontal="left"/>
    </xf>
    <xf numFmtId="0" fontId="42" fillId="29" borderId="0" xfId="0" applyFont="1" applyFill="1" applyBorder="1"/>
    <xf numFmtId="0" fontId="0" fillId="0" borderId="34" xfId="0" applyBorder="1"/>
    <xf numFmtId="0" fontId="44" fillId="0" borderId="34" xfId="0" applyFont="1" applyBorder="1"/>
    <xf numFmtId="0" fontId="0" fillId="0" borderId="22" xfId="0" applyBorder="1"/>
    <xf numFmtId="0" fontId="9" fillId="34" borderId="23" xfId="0" applyFont="1" applyFill="1" applyBorder="1" applyAlignment="1">
      <alignment horizontal="center"/>
    </xf>
    <xf numFmtId="0" fontId="33" fillId="29" borderId="13" xfId="0" applyFont="1" applyFill="1" applyBorder="1" applyAlignment="1">
      <alignment horizontal="right"/>
    </xf>
    <xf numFmtId="0" fontId="40" fillId="29" borderId="0" xfId="0" applyFont="1" applyFill="1" applyBorder="1" applyAlignment="1">
      <alignment horizontal="left"/>
    </xf>
    <xf numFmtId="0" fontId="7" fillId="29" borderId="0" xfId="0" applyFont="1" applyFill="1" applyBorder="1" applyAlignment="1">
      <alignment horizontal="right"/>
    </xf>
    <xf numFmtId="0" fontId="9" fillId="29" borderId="0" xfId="0" applyFont="1" applyFill="1"/>
    <xf numFmtId="0" fontId="10" fillId="29" borderId="0" xfId="0" applyFont="1" applyFill="1" applyAlignment="1">
      <alignment horizontal="right"/>
    </xf>
    <xf numFmtId="0" fontId="0" fillId="34" borderId="0" xfId="0" applyFill="1"/>
    <xf numFmtId="9" fontId="0" fillId="34" borderId="0" xfId="44" applyFont="1" applyFill="1" applyBorder="1"/>
    <xf numFmtId="0" fontId="0" fillId="34" borderId="23" xfId="0" applyFill="1" applyBorder="1"/>
    <xf numFmtId="0" fontId="10" fillId="29" borderId="0" xfId="0" applyFont="1" applyFill="1"/>
    <xf numFmtId="0" fontId="7" fillId="29" borderId="0" xfId="0" applyFont="1" applyFill="1" applyAlignment="1">
      <alignment horizontal="right"/>
    </xf>
    <xf numFmtId="0" fontId="43" fillId="38" borderId="26" xfId="0" applyFont="1" applyFill="1" applyBorder="1"/>
    <xf numFmtId="0" fontId="63" fillId="38" borderId="27" xfId="0" applyFont="1" applyFill="1" applyBorder="1"/>
    <xf numFmtId="0" fontId="43" fillId="32" borderId="26" xfId="0" applyFont="1" applyFill="1" applyBorder="1" applyAlignment="1">
      <alignment horizontal="left"/>
    </xf>
    <xf numFmtId="0" fontId="63" fillId="38" borderId="22" xfId="0" applyFont="1" applyFill="1" applyBorder="1"/>
    <xf numFmtId="0" fontId="63" fillId="38" borderId="23" xfId="0" applyFont="1" applyFill="1" applyBorder="1"/>
    <xf numFmtId="0" fontId="0" fillId="32" borderId="0" xfId="0" applyFill="1"/>
    <xf numFmtId="6" fontId="0" fillId="32" borderId="0" xfId="0" applyNumberFormat="1" applyFill="1" applyAlignment="1">
      <alignment horizontal="center" vertical="center"/>
    </xf>
    <xf numFmtId="0" fontId="47" fillId="38" borderId="22" xfId="0" applyFont="1" applyFill="1" applyBorder="1"/>
    <xf numFmtId="0" fontId="64" fillId="38" borderId="22" xfId="0" applyFont="1" applyFill="1" applyBorder="1"/>
    <xf numFmtId="167" fontId="63" fillId="38" borderId="23" xfId="28" applyNumberFormat="1" applyFont="1" applyFill="1" applyBorder="1"/>
    <xf numFmtId="0" fontId="63" fillId="38" borderId="47" xfId="0" applyFont="1" applyFill="1" applyBorder="1"/>
    <xf numFmtId="167" fontId="63" fillId="38" borderId="38" xfId="28" applyNumberFormat="1" applyFont="1" applyFill="1" applyBorder="1"/>
    <xf numFmtId="167" fontId="64" fillId="38" borderId="23" xfId="28" applyNumberFormat="1" applyFont="1" applyFill="1" applyBorder="1"/>
    <xf numFmtId="0" fontId="43" fillId="36" borderId="26" xfId="0" applyFont="1" applyFill="1" applyBorder="1" applyAlignment="1">
      <alignment horizontal="left"/>
    </xf>
    <xf numFmtId="0" fontId="0" fillId="36" borderId="34" xfId="0" applyFill="1" applyBorder="1"/>
    <xf numFmtId="0" fontId="9" fillId="36" borderId="34" xfId="0" applyFont="1" applyFill="1" applyBorder="1" applyAlignment="1">
      <alignment horizontal="center" vertical="center"/>
    </xf>
    <xf numFmtId="0" fontId="10" fillId="36" borderId="22" xfId="0" applyFont="1" applyFill="1" applyBorder="1"/>
    <xf numFmtId="0" fontId="0" fillId="36" borderId="22" xfId="0" applyFill="1" applyBorder="1"/>
    <xf numFmtId="0" fontId="47" fillId="38" borderId="47" xfId="0" applyFont="1" applyFill="1" applyBorder="1"/>
    <xf numFmtId="167" fontId="47" fillId="38" borderId="38" xfId="28" applyNumberFormat="1" applyFont="1" applyFill="1" applyBorder="1"/>
    <xf numFmtId="0" fontId="0" fillId="36" borderId="24" xfId="0" applyFill="1" applyBorder="1"/>
    <xf numFmtId="0" fontId="0" fillId="36" borderId="35" xfId="0" applyFill="1" applyBorder="1"/>
    <xf numFmtId="6" fontId="0" fillId="36" borderId="35" xfId="0" applyNumberFormat="1" applyFill="1" applyBorder="1" applyAlignment="1">
      <alignment horizontal="center" vertical="center"/>
    </xf>
    <xf numFmtId="0" fontId="9" fillId="37" borderId="34" xfId="0" applyFont="1" applyFill="1" applyBorder="1" applyAlignment="1">
      <alignment horizontal="center" vertical="center"/>
    </xf>
    <xf numFmtId="0" fontId="10" fillId="37" borderId="22" xfId="0" applyFont="1" applyFill="1" applyBorder="1"/>
    <xf numFmtId="0" fontId="0" fillId="37" borderId="22" xfId="0" applyFill="1" applyBorder="1"/>
    <xf numFmtId="167" fontId="63" fillId="38" borderId="38" xfId="0" applyNumberFormat="1" applyFont="1" applyFill="1" applyBorder="1"/>
    <xf numFmtId="167" fontId="63" fillId="38" borderId="23" xfId="0" applyNumberFormat="1" applyFont="1" applyFill="1" applyBorder="1"/>
    <xf numFmtId="0" fontId="0" fillId="37" borderId="24" xfId="0" applyFill="1" applyBorder="1"/>
    <xf numFmtId="0" fontId="0" fillId="37" borderId="35" xfId="0" applyFill="1" applyBorder="1"/>
    <xf numFmtId="6" fontId="0" fillId="37" borderId="35" xfId="0" applyNumberFormat="1" applyFill="1" applyBorder="1" applyAlignment="1">
      <alignment horizontal="center" vertical="center"/>
    </xf>
    <xf numFmtId="6" fontId="63" fillId="38" borderId="23" xfId="0" applyNumberFormat="1" applyFont="1" applyFill="1" applyBorder="1"/>
    <xf numFmtId="44" fontId="0" fillId="29" borderId="0" xfId="0" applyNumberFormat="1" applyFill="1"/>
    <xf numFmtId="0" fontId="63" fillId="38" borderId="24" xfId="0" applyFont="1" applyFill="1" applyBorder="1"/>
    <xf numFmtId="9" fontId="63" fillId="38" borderId="25" xfId="44" applyFont="1" applyFill="1" applyBorder="1"/>
    <xf numFmtId="0" fontId="7" fillId="29" borderId="35" xfId="0" applyFont="1" applyFill="1" applyBorder="1"/>
    <xf numFmtId="0" fontId="9" fillId="29" borderId="16" xfId="0" applyFont="1" applyFill="1" applyBorder="1" applyAlignment="1">
      <alignment horizontal="center"/>
    </xf>
    <xf numFmtId="0" fontId="33" fillId="29" borderId="14" xfId="0" applyFont="1" applyFill="1" applyBorder="1" applyAlignment="1">
      <alignment horizontal="center" wrapText="1"/>
    </xf>
    <xf numFmtId="0" fontId="7" fillId="0" borderId="41" xfId="0" applyFont="1" applyFill="1" applyBorder="1" applyAlignment="1">
      <alignment horizontal="right"/>
    </xf>
    <xf numFmtId="43" fontId="63" fillId="38" borderId="38" xfId="0" applyNumberFormat="1" applyFont="1" applyFill="1" applyBorder="1" applyAlignment="1">
      <alignment horizontal="center"/>
    </xf>
    <xf numFmtId="0" fontId="44" fillId="29" borderId="0" xfId="0" applyFont="1" applyFill="1"/>
    <xf numFmtId="170" fontId="37" fillId="0" borderId="0" xfId="61" applyNumberFormat="1" applyFont="1" applyFill="1" applyBorder="1"/>
    <xf numFmtId="0" fontId="0" fillId="37" borderId="0" xfId="0" applyFill="1" applyBorder="1"/>
    <xf numFmtId="6" fontId="0" fillId="37" borderId="0" xfId="0" applyNumberFormat="1" applyFill="1" applyBorder="1" applyAlignment="1">
      <alignment horizontal="center" vertical="center"/>
    </xf>
    <xf numFmtId="0" fontId="0" fillId="36" borderId="0" xfId="0" applyFill="1" applyBorder="1"/>
    <xf numFmtId="6" fontId="0" fillId="36" borderId="0" xfId="0" applyNumberFormat="1" applyFill="1" applyBorder="1" applyAlignment="1">
      <alignment horizontal="center" vertical="center"/>
    </xf>
    <xf numFmtId="167" fontId="35" fillId="29" borderId="0" xfId="28" applyNumberFormat="1" applyFont="1" applyFill="1" applyBorder="1" applyAlignment="1"/>
    <xf numFmtId="164" fontId="44" fillId="0" borderId="0" xfId="0" applyNumberFormat="1" applyFont="1"/>
    <xf numFmtId="9" fontId="44" fillId="31" borderId="11" xfId="44" applyFont="1" applyFill="1" applyBorder="1" applyAlignment="1" applyProtection="1">
      <alignment horizontal="center"/>
      <protection locked="0"/>
    </xf>
    <xf numFmtId="9" fontId="37" fillId="27" borderId="11" xfId="0" applyNumberFormat="1" applyFont="1" applyFill="1" applyBorder="1" applyAlignment="1" applyProtection="1">
      <alignment horizontal="center" vertical="center"/>
      <protection locked="0"/>
    </xf>
    <xf numFmtId="44" fontId="37" fillId="27" borderId="44" xfId="28" applyFont="1" applyFill="1" applyBorder="1" applyProtection="1">
      <protection locked="0"/>
    </xf>
    <xf numFmtId="44" fontId="0" fillId="27" borderId="44" xfId="28" applyFont="1" applyFill="1" applyBorder="1" applyProtection="1">
      <protection locked="0"/>
    </xf>
    <xf numFmtId="44" fontId="0" fillId="27" borderId="45" xfId="28" applyFont="1" applyFill="1" applyBorder="1" applyProtection="1">
      <protection locked="0"/>
    </xf>
    <xf numFmtId="0" fontId="9" fillId="27" borderId="11" xfId="0" applyFont="1" applyFill="1" applyBorder="1" applyAlignment="1" applyProtection="1">
      <alignment vertical="center"/>
      <protection locked="0"/>
    </xf>
    <xf numFmtId="0" fontId="37" fillId="27" borderId="11" xfId="44" applyNumberFormat="1" applyFont="1" applyFill="1" applyBorder="1" applyAlignment="1" applyProtection="1">
      <alignment horizontal="center"/>
      <protection locked="0"/>
    </xf>
    <xf numFmtId="0" fontId="0" fillId="27" borderId="11" xfId="0" applyFill="1" applyBorder="1" applyAlignment="1" applyProtection="1">
      <alignment horizontal="center" vertical="center"/>
      <protection locked="0"/>
    </xf>
    <xf numFmtId="9" fontId="0" fillId="27" borderId="11" xfId="0" applyNumberFormat="1" applyFill="1" applyBorder="1" applyAlignment="1" applyProtection="1">
      <alignment horizontal="right"/>
      <protection locked="0"/>
    </xf>
    <xf numFmtId="0" fontId="7" fillId="27" borderId="11" xfId="0" applyFont="1" applyFill="1" applyBorder="1" applyProtection="1">
      <protection locked="0"/>
    </xf>
    <xf numFmtId="44" fontId="7" fillId="27" borderId="11" xfId="0" applyNumberFormat="1" applyFont="1" applyFill="1" applyBorder="1" applyAlignment="1" applyProtection="1">
      <alignment horizontal="right" wrapText="1"/>
      <protection locked="0"/>
    </xf>
    <xf numFmtId="0" fontId="7" fillId="27" borderId="48" xfId="0" applyFont="1" applyFill="1" applyBorder="1" applyAlignment="1" applyProtection="1">
      <alignment horizontal="center"/>
      <protection locked="0"/>
    </xf>
    <xf numFmtId="0" fontId="0" fillId="0" borderId="18" xfId="0" applyBorder="1" applyAlignment="1">
      <alignment horizontal="right" vertical="center"/>
    </xf>
    <xf numFmtId="0" fontId="0" fillId="0" borderId="13" xfId="0" applyBorder="1" applyAlignment="1">
      <alignment horizontal="right" vertical="center"/>
    </xf>
    <xf numFmtId="0" fontId="10" fillId="29" borderId="18" xfId="0" applyFont="1" applyFill="1" applyBorder="1" applyAlignment="1">
      <alignment horizontal="left"/>
    </xf>
    <xf numFmtId="0" fontId="10" fillId="29" borderId="0" xfId="0" applyFont="1" applyFill="1" applyBorder="1" applyAlignment="1">
      <alignment horizontal="left"/>
    </xf>
    <xf numFmtId="0" fontId="44" fillId="31" borderId="11" xfId="0" applyFont="1" applyFill="1" applyBorder="1" applyAlignment="1" applyProtection="1">
      <alignment horizontal="center"/>
      <protection locked="0"/>
    </xf>
    <xf numFmtId="0" fontId="40" fillId="0" borderId="15" xfId="0" applyFont="1" applyBorder="1" applyAlignment="1">
      <alignment horizontal="right" vertical="center" wrapText="1"/>
    </xf>
    <xf numFmtId="0" fontId="40" fillId="0" borderId="17" xfId="0" applyFont="1" applyBorder="1" applyAlignment="1">
      <alignment horizontal="right" vertical="center" wrapText="1"/>
    </xf>
    <xf numFmtId="0" fontId="44" fillId="31" borderId="11" xfId="44" applyNumberFormat="1" applyFont="1" applyFill="1" applyBorder="1" applyAlignment="1" applyProtection="1">
      <alignment horizontal="center"/>
      <protection locked="0"/>
    </xf>
    <xf numFmtId="0" fontId="40" fillId="0" borderId="18" xfId="0" applyFont="1" applyFill="1" applyBorder="1" applyAlignment="1">
      <alignment horizontal="right" vertical="center"/>
    </xf>
    <xf numFmtId="0" fontId="40" fillId="0" borderId="13" xfId="0" applyFont="1" applyFill="1" applyBorder="1" applyAlignment="1">
      <alignment horizontal="right" vertical="center"/>
    </xf>
    <xf numFmtId="9" fontId="37" fillId="29" borderId="0" xfId="44" applyFont="1" applyFill="1" applyBorder="1" applyAlignment="1">
      <alignment horizontal="left" vertical="top" wrapText="1"/>
    </xf>
    <xf numFmtId="9" fontId="37" fillId="29" borderId="23" xfId="44" applyFont="1" applyFill="1" applyBorder="1" applyAlignment="1">
      <alignment horizontal="left" vertical="top" wrapText="1"/>
    </xf>
    <xf numFmtId="0" fontId="58" fillId="29" borderId="0" xfId="0" applyFont="1" applyFill="1" applyBorder="1" applyAlignment="1">
      <alignment horizontal="left" vertical="top" wrapText="1"/>
    </xf>
    <xf numFmtId="0" fontId="58" fillId="29" borderId="23" xfId="0" applyFont="1" applyFill="1" applyBorder="1" applyAlignment="1">
      <alignment horizontal="left" vertical="top" wrapText="1"/>
    </xf>
    <xf numFmtId="0" fontId="58" fillId="29" borderId="0" xfId="0" applyFont="1" applyFill="1" applyAlignment="1">
      <alignment horizontal="left" vertical="top" wrapText="1"/>
    </xf>
    <xf numFmtId="0" fontId="40" fillId="0" borderId="20" xfId="0" applyFont="1" applyBorder="1" applyAlignment="1">
      <alignment horizontal="right" vertical="center"/>
    </xf>
    <xf numFmtId="0" fontId="40" fillId="0" borderId="21" xfId="0" applyFont="1" applyBorder="1" applyAlignment="1">
      <alignment horizontal="righ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43" fillId="37" borderId="26" xfId="0" applyFont="1" applyFill="1" applyBorder="1" applyAlignment="1">
      <alignment horizontal="left" vertical="top"/>
    </xf>
    <xf numFmtId="0" fontId="43" fillId="37" borderId="34" xfId="0" applyFont="1" applyFill="1" applyBorder="1" applyAlignment="1">
      <alignment horizontal="left" vertical="top"/>
    </xf>
    <xf numFmtId="0" fontId="9" fillId="37" borderId="34" xfId="0" applyFont="1" applyFill="1" applyBorder="1" applyAlignment="1">
      <alignment horizontal="center" vertical="center" wrapText="1"/>
    </xf>
    <xf numFmtId="0" fontId="9" fillId="37" borderId="27" xfId="0" applyFont="1" applyFill="1" applyBorder="1" applyAlignment="1">
      <alignment horizontal="center" vertical="center" wrapText="1"/>
    </xf>
    <xf numFmtId="6" fontId="0" fillId="37" borderId="0" xfId="0" applyNumberFormat="1" applyFill="1" applyBorder="1" applyAlignment="1">
      <alignment horizontal="center" vertical="center"/>
    </xf>
    <xf numFmtId="6" fontId="0" fillId="37" borderId="23" xfId="0" applyNumberFormat="1" applyFill="1" applyBorder="1" applyAlignment="1">
      <alignment horizontal="center" vertical="center"/>
    </xf>
    <xf numFmtId="0" fontId="9" fillId="36" borderId="34" xfId="0" applyFont="1" applyFill="1" applyBorder="1" applyAlignment="1">
      <alignment horizontal="center" vertical="center" wrapText="1"/>
    </xf>
    <xf numFmtId="0" fontId="9" fillId="36" borderId="27" xfId="0" applyFont="1" applyFill="1" applyBorder="1" applyAlignment="1">
      <alignment horizontal="center" vertical="center" wrapText="1"/>
    </xf>
    <xf numFmtId="6" fontId="0" fillId="36" borderId="23" xfId="0" applyNumberFormat="1" applyFill="1" applyBorder="1" applyAlignment="1">
      <alignment horizontal="center" vertical="center"/>
    </xf>
    <xf numFmtId="6" fontId="0" fillId="36" borderId="25" xfId="0" applyNumberFormat="1" applyFill="1" applyBorder="1" applyAlignment="1">
      <alignment horizontal="center" vertical="center"/>
    </xf>
    <xf numFmtId="0" fontId="47" fillId="38" borderId="43" xfId="0" applyFont="1" applyFill="1" applyBorder="1" applyAlignment="1">
      <alignment horizontal="left" vertical="top" wrapText="1"/>
    </xf>
    <xf numFmtId="0" fontId="47" fillId="38" borderId="22" xfId="0" applyFont="1" applyFill="1" applyBorder="1" applyAlignment="1">
      <alignment horizontal="left" vertical="top" wrapText="1"/>
    </xf>
    <xf numFmtId="167" fontId="47" fillId="38" borderId="46" xfId="28" applyNumberFormat="1" applyFont="1" applyFill="1" applyBorder="1" applyAlignment="1">
      <alignment horizontal="left" vertical="center"/>
    </xf>
    <xf numFmtId="167" fontId="47" fillId="38" borderId="23" xfId="28" applyNumberFormat="1" applyFont="1" applyFill="1" applyBorder="1" applyAlignment="1">
      <alignment horizontal="left" vertical="center"/>
    </xf>
    <xf numFmtId="6" fontId="0" fillId="37" borderId="35" xfId="0" applyNumberFormat="1" applyFill="1" applyBorder="1" applyAlignment="1">
      <alignment horizontal="center" vertical="center"/>
    </xf>
    <xf numFmtId="6" fontId="0" fillId="37" borderId="25" xfId="0" applyNumberFormat="1" applyFill="1" applyBorder="1" applyAlignment="1">
      <alignment horizontal="center" vertical="center"/>
    </xf>
    <xf numFmtId="0" fontId="63" fillId="38" borderId="43" xfId="0" applyFont="1" applyFill="1" applyBorder="1" applyAlignment="1">
      <alignment horizontal="left" wrapText="1"/>
    </xf>
    <xf numFmtId="0" fontId="63" fillId="38" borderId="22" xfId="0" applyFont="1" applyFill="1" applyBorder="1" applyAlignment="1">
      <alignment horizontal="left" wrapText="1"/>
    </xf>
    <xf numFmtId="0" fontId="7" fillId="0" borderId="0" xfId="0" applyFont="1" applyFill="1" applyAlignment="1">
      <alignment horizontal="left" vertical="center" wrapText="1"/>
    </xf>
    <xf numFmtId="0" fontId="7" fillId="0" borderId="0" xfId="67" applyAlignment="1">
      <alignment wrapText="1"/>
    </xf>
  </cellXfs>
  <cellStyles count="6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7" xr:uid="{00000000-0005-0000-0000-00001B000000}"/>
    <cellStyle name="Comma 3" xfId="61" xr:uid="{00000000-0005-0000-0000-00001C000000}"/>
    <cellStyle name="Currency" xfId="28" builtinId="4"/>
    <cellStyle name="Currency 2" xfId="52" xr:uid="{00000000-0005-0000-0000-00001E000000}"/>
    <cellStyle name="Currency 2 2" xfId="56" xr:uid="{00000000-0005-0000-0000-00001F000000}"/>
    <cellStyle name="Currency 2 3" xfId="64" xr:uid="{54B92CF2-DC33-F549-A2EC-046BD2B2D406}"/>
    <cellStyle name="Currency 3" xfId="54" xr:uid="{00000000-0005-0000-0000-000020000000}"/>
    <cellStyle name="Currency 4" xfId="59" xr:uid="{00000000-0005-0000-0000-000021000000}"/>
    <cellStyle name="Currency 5" xfId="66" xr:uid="{77741308-79E3-DF4D-B987-554A22D72CB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5" xr:uid="{00000000-0005-0000-0000-00002D000000}"/>
    <cellStyle name="Normal 2 2" xfId="55" xr:uid="{00000000-0005-0000-0000-00002E000000}"/>
    <cellStyle name="Normal 2 3" xfId="63" xr:uid="{073E5740-0F4E-1143-952E-49B4E3561A97}"/>
    <cellStyle name="Normal 3" xfId="47" xr:uid="{00000000-0005-0000-0000-00002F000000}"/>
    <cellStyle name="Normal 3 2" xfId="67" xr:uid="{584964AF-28CB-324B-A1AA-4736EAAD57EC}"/>
    <cellStyle name="Normal 4" xfId="49" xr:uid="{00000000-0005-0000-0000-000030000000}"/>
    <cellStyle name="Normal 5" xfId="51" xr:uid="{00000000-0005-0000-0000-000031000000}"/>
    <cellStyle name="Normal 6" xfId="53" xr:uid="{00000000-0005-0000-0000-000032000000}"/>
    <cellStyle name="Normal 7" xfId="58" xr:uid="{00000000-0005-0000-0000-000033000000}"/>
    <cellStyle name="Normal 8" xfId="60" xr:uid="{00000000-0005-0000-0000-000034000000}"/>
    <cellStyle name="Normal 9" xfId="62" xr:uid="{134BEEEC-DE54-2148-8802-28946ED0A017}"/>
    <cellStyle name="Note" xfId="39" builtinId="10" customBuiltin="1"/>
    <cellStyle name="Output" xfId="40" builtinId="21" customBuiltin="1"/>
    <cellStyle name="Percent" xfId="44" builtinId="5"/>
    <cellStyle name="Percent 2" xfId="46" xr:uid="{00000000-0005-0000-0000-000039000000}"/>
    <cellStyle name="Percent 2 2" xfId="65" xr:uid="{08534AB9-3840-3F45-877E-12B738DBD5D2}"/>
    <cellStyle name="Percent 3" xfId="48" xr:uid="{00000000-0005-0000-0000-00003A000000}"/>
    <cellStyle name="Percent 4" xfId="50" xr:uid="{00000000-0005-0000-0000-00003B000000}"/>
    <cellStyle name="Title" xfId="41" builtinId="15" customBuiltin="1"/>
    <cellStyle name="Total" xfId="42" builtinId="25" customBuiltin="1"/>
    <cellStyle name="Warning Text" xfId="43" builtinId="11" customBuiltin="1"/>
  </cellStyles>
  <dxfs count="2">
    <dxf>
      <font>
        <color rgb="FF9C0006"/>
      </font>
      <fill>
        <patternFill>
          <bgColor rgb="FFFFC7CE"/>
        </patternFill>
      </fill>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5F7530"/>
      <color rgb="FFFDE9D9"/>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'VariablesINPUT-FCC'!$M$75</c:f>
              <c:strCache>
                <c:ptCount val="1"/>
                <c:pt idx="0">
                  <c:v>Infants</c:v>
                </c:pt>
              </c:strCache>
            </c:strRef>
          </c:tx>
          <c:spPr>
            <a:solidFill>
              <a:schemeClr val="accent1"/>
            </a:solidFill>
            <a:ln>
              <a:noFill/>
            </a:ln>
            <a:effectLst/>
          </c:spPr>
          <c:invertIfNegative val="0"/>
          <c:cat>
            <c:strRef>
              <c:f>'VariablesINPUT-FCC'!$N$74:$O$74</c:f>
              <c:strCache>
                <c:ptCount val="2"/>
                <c:pt idx="0">
                  <c:v>Gap - subsidy and cost</c:v>
                </c:pt>
                <c:pt idx="1">
                  <c:v>Gap - price and cost</c:v>
                </c:pt>
              </c:strCache>
            </c:strRef>
          </c:cat>
          <c:val>
            <c:numRef>
              <c:f>'VariablesINPUT-FCC'!$N$75:$O$75</c:f>
              <c:numCache>
                <c:formatCode>"$"#,##0.00</c:formatCode>
                <c:ptCount val="2"/>
                <c:pt idx="0">
                  <c:v>-423.55247663541672</c:v>
                </c:pt>
                <c:pt idx="1">
                  <c:v>-155.53580996875007</c:v>
                </c:pt>
              </c:numCache>
            </c:numRef>
          </c:val>
          <c:extLst>
            <c:ext xmlns:c16="http://schemas.microsoft.com/office/drawing/2014/chart" uri="{C3380CC4-5D6E-409C-BE32-E72D297353CC}">
              <c16:uniqueId val="{00000000-8587-B24C-B23B-79616B3B98E9}"/>
            </c:ext>
          </c:extLst>
        </c:ser>
        <c:ser>
          <c:idx val="1"/>
          <c:order val="1"/>
          <c:tx>
            <c:strRef>
              <c:f>'VariablesINPUT-FCC'!$M$76</c:f>
              <c:strCache>
                <c:ptCount val="1"/>
                <c:pt idx="0">
                  <c:v>Toddlers</c:v>
                </c:pt>
              </c:strCache>
            </c:strRef>
          </c:tx>
          <c:spPr>
            <a:solidFill>
              <a:schemeClr val="accent3"/>
            </a:solidFill>
            <a:ln>
              <a:noFill/>
            </a:ln>
            <a:effectLst/>
          </c:spPr>
          <c:invertIfNegative val="0"/>
          <c:cat>
            <c:strRef>
              <c:f>'VariablesINPUT-FCC'!$N$74:$O$74</c:f>
              <c:strCache>
                <c:ptCount val="2"/>
                <c:pt idx="0">
                  <c:v>Gap - subsidy and cost</c:v>
                </c:pt>
                <c:pt idx="1">
                  <c:v>Gap - price and cost</c:v>
                </c:pt>
              </c:strCache>
            </c:strRef>
          </c:cat>
          <c:val>
            <c:numRef>
              <c:f>'VariablesINPUT-FCC'!$N$76:$O$76</c:f>
              <c:numCache>
                <c:formatCode>"$"#,##0.00</c:formatCode>
                <c:ptCount val="2"/>
                <c:pt idx="0">
                  <c:v>-472.9524766354167</c:v>
                </c:pt>
                <c:pt idx="1">
                  <c:v>-225.9524766354167</c:v>
                </c:pt>
              </c:numCache>
            </c:numRef>
          </c:val>
          <c:extLst>
            <c:ext xmlns:c16="http://schemas.microsoft.com/office/drawing/2014/chart" uri="{C3380CC4-5D6E-409C-BE32-E72D297353CC}">
              <c16:uniqueId val="{00000001-8587-B24C-B23B-79616B3B98E9}"/>
            </c:ext>
          </c:extLst>
        </c:ser>
        <c:ser>
          <c:idx val="2"/>
          <c:order val="2"/>
          <c:tx>
            <c:strRef>
              <c:f>'VariablesINPUT-FCC'!$M$77</c:f>
              <c:strCache>
                <c:ptCount val="1"/>
                <c:pt idx="0">
                  <c:v>Preschoolers</c:v>
                </c:pt>
              </c:strCache>
            </c:strRef>
          </c:tx>
          <c:spPr>
            <a:solidFill>
              <a:schemeClr val="accent5"/>
            </a:solidFill>
            <a:ln>
              <a:noFill/>
            </a:ln>
            <a:effectLst/>
          </c:spPr>
          <c:invertIfNegative val="0"/>
          <c:cat>
            <c:strRef>
              <c:f>'VariablesINPUT-FCC'!$N$74:$O$74</c:f>
              <c:strCache>
                <c:ptCount val="2"/>
                <c:pt idx="0">
                  <c:v>Gap - subsidy and cost</c:v>
                </c:pt>
                <c:pt idx="1">
                  <c:v>Gap - price and cost</c:v>
                </c:pt>
              </c:strCache>
            </c:strRef>
          </c:cat>
          <c:val>
            <c:numRef>
              <c:f>'VariablesINPUT-FCC'!$N$77:$O$77</c:f>
              <c:numCache>
                <c:formatCode>"$"#,##0.00</c:formatCode>
                <c:ptCount val="2"/>
                <c:pt idx="0">
                  <c:v>-503.28580996875007</c:v>
                </c:pt>
                <c:pt idx="1">
                  <c:v>-269.28580996875007</c:v>
                </c:pt>
              </c:numCache>
            </c:numRef>
          </c:val>
          <c:extLst>
            <c:ext xmlns:c16="http://schemas.microsoft.com/office/drawing/2014/chart" uri="{C3380CC4-5D6E-409C-BE32-E72D297353CC}">
              <c16:uniqueId val="{00000003-8587-B24C-B23B-79616B3B98E9}"/>
            </c:ext>
          </c:extLst>
        </c:ser>
        <c:ser>
          <c:idx val="3"/>
          <c:order val="3"/>
          <c:tx>
            <c:strRef>
              <c:f>'VariablesINPUT-FCC'!$M$78</c:f>
              <c:strCache>
                <c:ptCount val="1"/>
                <c:pt idx="0">
                  <c:v>School age</c:v>
                </c:pt>
              </c:strCache>
            </c:strRef>
          </c:tx>
          <c:spPr>
            <a:solidFill>
              <a:schemeClr val="accent1">
                <a:lumMod val="60000"/>
              </a:schemeClr>
            </a:solidFill>
            <a:ln>
              <a:noFill/>
            </a:ln>
            <a:effectLst/>
          </c:spPr>
          <c:invertIfNegative val="0"/>
          <c:cat>
            <c:strRef>
              <c:f>'VariablesINPUT-FCC'!$N$74:$O$74</c:f>
              <c:strCache>
                <c:ptCount val="2"/>
                <c:pt idx="0">
                  <c:v>Gap - subsidy and cost</c:v>
                </c:pt>
                <c:pt idx="1">
                  <c:v>Gap - price and cost</c:v>
                </c:pt>
              </c:strCache>
            </c:strRef>
          </c:cat>
          <c:val>
            <c:numRef>
              <c:f>'VariablesINPUT-FCC'!$N$78:$O$78</c:f>
              <c:numCache>
                <c:formatCode>"$"#,##0.00</c:formatCode>
                <c:ptCount val="2"/>
                <c:pt idx="0">
                  <c:v>-75.936561093750015</c:v>
                </c:pt>
                <c:pt idx="1">
                  <c:v>-149.6032277604167</c:v>
                </c:pt>
              </c:numCache>
            </c:numRef>
          </c:val>
          <c:extLst>
            <c:ext xmlns:c16="http://schemas.microsoft.com/office/drawing/2014/chart" uri="{C3380CC4-5D6E-409C-BE32-E72D297353CC}">
              <c16:uniqueId val="{00000004-8587-B24C-B23B-79616B3B98E9}"/>
            </c:ext>
          </c:extLst>
        </c:ser>
        <c:dLbls>
          <c:showLegendKey val="0"/>
          <c:showVal val="0"/>
          <c:showCatName val="0"/>
          <c:showSerName val="0"/>
          <c:showPercent val="0"/>
          <c:showBubbleSize val="0"/>
        </c:dLbls>
        <c:gapWidth val="219"/>
        <c:overlap val="-27"/>
        <c:axId val="1378133200"/>
        <c:axId val="1018972864"/>
      </c:barChart>
      <c:catAx>
        <c:axId val="13781332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8972864"/>
        <c:crosses val="autoZero"/>
        <c:auto val="1"/>
        <c:lblAlgn val="ctr"/>
        <c:lblOffset val="100"/>
        <c:noMultiLvlLbl val="0"/>
      </c:catAx>
      <c:valAx>
        <c:axId val="10189728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81332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296883</xdr:colOff>
      <xdr:row>0</xdr:row>
      <xdr:rowOff>0</xdr:rowOff>
    </xdr:from>
    <xdr:to>
      <xdr:col>10</xdr:col>
      <xdr:colOff>1403234</xdr:colOff>
      <xdr:row>8</xdr:row>
      <xdr:rowOff>17894</xdr:rowOff>
    </xdr:to>
    <xdr:pic>
      <xdr:nvPicPr>
        <xdr:cNvPr id="2" name="Picture 1">
          <a:extLst>
            <a:ext uri="{FF2B5EF4-FFF2-40B4-BE49-F238E27FC236}">
              <a16:creationId xmlns:a16="http://schemas.microsoft.com/office/drawing/2014/main" id="{F088E21E-71B7-344A-89E7-349703DD21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38428" y="0"/>
          <a:ext cx="1106351" cy="1449530"/>
        </a:xfrm>
        <a:prstGeom prst="rect">
          <a:avLst/>
        </a:prstGeom>
      </xdr:spPr>
    </xdr:pic>
    <xdr:clientData/>
  </xdr:twoCellAnchor>
  <xdr:twoCellAnchor>
    <xdr:from>
      <xdr:col>4</xdr:col>
      <xdr:colOff>197303</xdr:colOff>
      <xdr:row>83</xdr:row>
      <xdr:rowOff>124731</xdr:rowOff>
    </xdr:from>
    <xdr:to>
      <xdr:col>8</xdr:col>
      <xdr:colOff>907142</xdr:colOff>
      <xdr:row>95</xdr:row>
      <xdr:rowOff>56241</xdr:rowOff>
    </xdr:to>
    <xdr:graphicFrame macro="">
      <xdr:nvGraphicFramePr>
        <xdr:cNvPr id="5" name="Chart 4">
          <a:extLst>
            <a:ext uri="{FF2B5EF4-FFF2-40B4-BE49-F238E27FC236}">
              <a16:creationId xmlns:a16="http://schemas.microsoft.com/office/drawing/2014/main" id="{4734A837-F5C9-A548-992E-1DC2471B2C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nterforamericanprogress-my.sharepoint.com/personal/sworkman_americanprogress_org/Documents/Oregon%20COVID%20cost%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nterforamericanprogress-my.sharepoint.com/C:/Users/Owner/Desktop/SF_Center_RE_Model_2016%20samp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laware%20Child%20Care%20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enterforamericanprogress-my.sharepoint.com/Users/sworkman/OneDrive%20-%20Center%20For%20American%20Progress/Copy%20of%20SF_RE_Model_Centerbased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99cb6bf57e6c3811/Washington%20Fiscal/final%20docs/WA%20CB%20RE%20Model_ICF%20July%20202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enterforamericanprogress-my.sharepoint.com/Users/sworkman/OneDrive%20-%20Center%20For%20American%20Progress/North%20Carolina%20PCI/NC-Center%20based%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INPUT-CTR"/>
      <sheetName val="Quality Center Profile"/>
      <sheetName val="VariablesINPUT-FCC"/>
      <sheetName val="QualityHomeProfile"/>
      <sheetName val="System costs"/>
      <sheetName val="Ratios"/>
      <sheetName val="Wages"/>
      <sheetName val="Nonpersonnel PCQC"/>
    </sheetNames>
    <sheetDataSet>
      <sheetData sheetId="0"/>
      <sheetData sheetId="1">
        <row r="9">
          <cell r="F9">
            <v>2</v>
          </cell>
        </row>
        <row r="39">
          <cell r="C39">
            <v>5380</v>
          </cell>
        </row>
        <row r="40">
          <cell r="D40">
            <v>718686.46710000001</v>
          </cell>
        </row>
      </sheetData>
      <sheetData sheetId="2">
        <row r="2">
          <cell r="F2" t="str">
            <v>Metro</v>
          </cell>
        </row>
        <row r="16">
          <cell r="D16" t="str">
            <v>BLS</v>
          </cell>
        </row>
        <row r="20">
          <cell r="D20" t="str">
            <v>Yes</v>
          </cell>
        </row>
        <row r="21">
          <cell r="D21">
            <v>10</v>
          </cell>
        </row>
        <row r="22">
          <cell r="D22">
            <v>10</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INPUT-CTR"/>
      <sheetName val="Quality Center Profile"/>
      <sheetName val="Child Finance Charts"/>
      <sheetName val="Wages BLS"/>
      <sheetName val="Nonpersonnel Aggregated"/>
      <sheetName val="Nonpersonnel from interviews"/>
      <sheetName val="Tuition Rates&amp;SMI"/>
      <sheetName val="FCS"/>
      <sheetName val="State Vouchers"/>
      <sheetName val="State Contracts"/>
      <sheetName val="Fed CACFP"/>
      <sheetName val="Fed EHS HS"/>
      <sheetName val="FamilyIncome&amp;HomePrices"/>
      <sheetName val="ECERS Cost by Level"/>
    </sheetNames>
    <sheetDataSet>
      <sheetData sheetId="0">
        <row r="6">
          <cell r="D6" t="str">
            <v>infants (0-24 mos.)</v>
          </cell>
        </row>
        <row r="26">
          <cell r="C26">
            <v>2</v>
          </cell>
          <cell r="D26">
            <v>7</v>
          </cell>
          <cell r="F26">
            <v>0</v>
          </cell>
        </row>
        <row r="27">
          <cell r="C27">
            <v>2</v>
          </cell>
          <cell r="D27">
            <v>6</v>
          </cell>
          <cell r="F27">
            <v>1</v>
          </cell>
        </row>
        <row r="28">
          <cell r="C28">
            <v>7</v>
          </cell>
          <cell r="D28">
            <v>11</v>
          </cell>
          <cell r="F28">
            <v>5</v>
          </cell>
        </row>
        <row r="29">
          <cell r="C29">
            <v>5</v>
          </cell>
          <cell r="D29">
            <v>8</v>
          </cell>
          <cell r="F29">
            <v>11</v>
          </cell>
        </row>
      </sheetData>
      <sheetData sheetId="1"/>
      <sheetData sheetId="2"/>
      <sheetData sheetId="3">
        <row r="19">
          <cell r="C19">
            <v>13</v>
          </cell>
        </row>
      </sheetData>
      <sheetData sheetId="4">
        <row r="21">
          <cell r="B21">
            <v>1535.0875411152008</v>
          </cell>
        </row>
        <row r="23">
          <cell r="B23">
            <v>2535.2442193985435</v>
          </cell>
        </row>
      </sheetData>
      <sheetData sheetId="5"/>
      <sheetData sheetId="6">
        <row r="4">
          <cell r="C4">
            <v>1900</v>
          </cell>
        </row>
      </sheetData>
      <sheetData sheetId="7"/>
      <sheetData sheetId="8">
        <row r="4">
          <cell r="B4">
            <v>1662.14</v>
          </cell>
        </row>
      </sheetData>
      <sheetData sheetId="9">
        <row r="7">
          <cell r="C7">
            <v>1444.6458333333333</v>
          </cell>
        </row>
      </sheetData>
      <sheetData sheetId="10">
        <row r="6">
          <cell r="J6">
            <v>3.5999999999999996</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INPUT-CTR"/>
      <sheetName val="Quality Center Profile"/>
      <sheetName val="QualVar"/>
      <sheetName val="Wages"/>
      <sheetName val="Ratios"/>
      <sheetName val="Nonpersonnel PCQC"/>
      <sheetName val="Subsidy Rates"/>
      <sheetName val="Tuition Rates"/>
      <sheetName val="Fed CACFP"/>
    </sheetNames>
    <sheetDataSet>
      <sheetData sheetId="0" refreshError="1"/>
      <sheetData sheetId="1">
        <row r="58">
          <cell r="D58">
            <v>23355.199999999997</v>
          </cell>
        </row>
        <row r="59">
          <cell r="D59">
            <v>63981.399999999994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ty Center Profile"/>
      <sheetName val="VariablesINPUT-CTR"/>
      <sheetName val="Child Finance Charts"/>
      <sheetName val="Wages BLS"/>
      <sheetName val="Nonpersonnel Aggregated"/>
      <sheetName val="Nonpersonnel from interviews"/>
      <sheetName val="Tuition Rates&amp;SMI"/>
      <sheetName val="C- Wages"/>
      <sheetName val="PFA"/>
      <sheetName val="City Child Care"/>
      <sheetName val="ACCESS"/>
      <sheetName val="FCS"/>
      <sheetName val="State Vouchers"/>
      <sheetName val="State Contracts"/>
      <sheetName val="Fed CACFP"/>
      <sheetName val="Fed EHS HS"/>
      <sheetName val="Revenue-NOT USED"/>
      <sheetName val="FamilyIncome&amp;HomePrices"/>
      <sheetName val="ECERS Cost by Level"/>
      <sheetName val="Apdx C - Center Baseline"/>
    </sheetNames>
    <sheetDataSet>
      <sheetData sheetId="0" refreshError="1"/>
      <sheetData sheetId="1" refreshError="1">
        <row r="26">
          <cell r="C26">
            <v>2</v>
          </cell>
          <cell r="E26">
            <v>0</v>
          </cell>
        </row>
        <row r="27">
          <cell r="E27">
            <v>3</v>
          </cell>
        </row>
        <row r="28">
          <cell r="E28">
            <v>1</v>
          </cell>
        </row>
      </sheetData>
      <sheetData sheetId="2">
        <row r="3">
          <cell r="C3" t="str">
            <v>infant</v>
          </cell>
        </row>
      </sheetData>
      <sheetData sheetId="3" refreshError="1"/>
      <sheetData sheetId="4">
        <row r="21">
          <cell r="B21">
            <v>1535.0875411152008</v>
          </cell>
        </row>
      </sheetData>
      <sheetData sheetId="5" refreshError="1"/>
      <sheetData sheetId="6"/>
      <sheetData sheetId="7"/>
      <sheetData sheetId="8"/>
      <sheetData sheetId="9"/>
      <sheetData sheetId="10" refreshError="1"/>
      <sheetData sheetId="11" refreshError="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INPUT-CTR"/>
      <sheetName val="ob"/>
      <sheetName val="Center Output"/>
      <sheetName val="co bas"/>
      <sheetName val="co qua"/>
      <sheetName val="co asp"/>
      <sheetName val="Baseline"/>
      <sheetName val="Quality"/>
      <sheetName val="Aspirational"/>
      <sheetName val="Analysis no SA"/>
      <sheetName val="Analysis with SA"/>
      <sheetName val="Wages Input"/>
      <sheetName val="Wages Data"/>
      <sheetName val="Wages BLS"/>
      <sheetName val="Aggregated Data"/>
      <sheetName val="State Subsidy"/>
      <sheetName val="Tuition"/>
      <sheetName val="ECEAP"/>
      <sheetName val="Fed CACF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9">
          <cell r="B29">
            <v>28146.352499999997</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INPUT-CTR"/>
      <sheetName val="Quality Center Profile"/>
      <sheetName val="Ratios"/>
      <sheetName val="Wages"/>
      <sheetName val="Wages BLS"/>
      <sheetName val="Nonpersonnel Aggregated"/>
      <sheetName val="Nonpersonnel disaggregated"/>
      <sheetName val="Tuition Rates"/>
      <sheetName val="Subsidy rates"/>
      <sheetName val="PreK"/>
      <sheetName val="Fed CACFP"/>
      <sheetName val="County Subsidy rates"/>
    </sheetNames>
    <sheetDataSet>
      <sheetData sheetId="0" refreshError="1"/>
      <sheetData sheetId="1" refreshError="1">
        <row r="7">
          <cell r="A7">
            <v>10</v>
          </cell>
        </row>
        <row r="9">
          <cell r="A9">
            <v>18</v>
          </cell>
          <cell r="F9">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federalregister.gov/documents/2020/07/22/2020-15765/child-and-adult-care-food-program-national-average-payment-rates-day-care-home-food-service-pay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499984740745262"/>
  </sheetPr>
  <dimension ref="A1:Q98"/>
  <sheetViews>
    <sheetView tabSelected="1" zoomScale="110" zoomScaleNormal="110" workbookViewId="0">
      <selection activeCell="C28" sqref="C28"/>
    </sheetView>
  </sheetViews>
  <sheetFormatPr baseColWidth="10" defaultColWidth="8.83203125" defaultRowHeight="13" x14ac:dyDescent="0.15"/>
  <cols>
    <col min="1" max="1" width="3.1640625" customWidth="1"/>
    <col min="2" max="2" width="23.33203125" customWidth="1"/>
    <col min="3" max="3" width="16.5" customWidth="1"/>
    <col min="4" max="4" width="16" customWidth="1"/>
    <col min="5" max="5" width="18.1640625" customWidth="1"/>
    <col min="6" max="6" width="14" customWidth="1"/>
    <col min="7" max="7" width="13.6640625" customWidth="1"/>
    <col min="8" max="8" width="12.33203125" customWidth="1"/>
    <col min="9" max="9" width="15" customWidth="1"/>
    <col min="10" max="10" width="18" customWidth="1"/>
    <col min="11" max="11" width="21" customWidth="1"/>
    <col min="12" max="12" width="11" customWidth="1"/>
    <col min="13" max="13" width="11.1640625" customWidth="1"/>
  </cols>
  <sheetData>
    <row r="1" spans="1:13" ht="9" customHeight="1" x14ac:dyDescent="0.15">
      <c r="A1" s="116"/>
      <c r="B1" s="388"/>
      <c r="C1" s="116"/>
      <c r="D1" s="116"/>
      <c r="E1" s="116"/>
      <c r="F1" s="117"/>
      <c r="G1" s="386" t="s">
        <v>72</v>
      </c>
      <c r="H1" s="118" t="s">
        <v>77</v>
      </c>
      <c r="I1" s="118" t="s">
        <v>197</v>
      </c>
      <c r="J1" s="118" t="s">
        <v>198</v>
      </c>
      <c r="K1" s="389" t="s">
        <v>79</v>
      </c>
      <c r="L1" s="390"/>
      <c r="M1" s="53"/>
    </row>
    <row r="2" spans="1:13" ht="21" customHeight="1" x14ac:dyDescent="0.2">
      <c r="A2" s="119"/>
      <c r="B2" s="387" t="s">
        <v>194</v>
      </c>
      <c r="C2" s="121"/>
      <c r="D2" s="121"/>
      <c r="E2" s="121"/>
      <c r="F2" s="122"/>
      <c r="G2" s="195"/>
      <c r="H2" s="123" t="s">
        <v>72</v>
      </c>
      <c r="I2" s="123" t="s">
        <v>74</v>
      </c>
      <c r="K2" s="124"/>
      <c r="L2" s="98"/>
      <c r="M2" s="53"/>
    </row>
    <row r="3" spans="1:13" ht="8" customHeight="1" x14ac:dyDescent="0.15">
      <c r="A3" s="119"/>
      <c r="B3" s="120"/>
      <c r="C3" s="121"/>
      <c r="D3" s="121"/>
      <c r="E3" s="121"/>
      <c r="F3" s="122"/>
      <c r="G3" s="195"/>
      <c r="H3" s="123" t="s">
        <v>72</v>
      </c>
      <c r="I3" s="123" t="s">
        <v>77</v>
      </c>
      <c r="J3" s="123" t="s">
        <v>73</v>
      </c>
      <c r="K3" s="124" t="s">
        <v>78</v>
      </c>
      <c r="L3" s="98" t="s">
        <v>79</v>
      </c>
      <c r="M3" s="53"/>
    </row>
    <row r="4" spans="1:13" ht="14" x14ac:dyDescent="0.15">
      <c r="A4" s="139"/>
      <c r="B4" s="125" t="s">
        <v>178</v>
      </c>
      <c r="C4" s="106"/>
      <c r="D4" s="106"/>
      <c r="E4" s="106"/>
      <c r="F4" s="106"/>
      <c r="G4" s="106"/>
      <c r="H4" s="123"/>
      <c r="I4" s="123"/>
      <c r="J4" s="123"/>
      <c r="K4" s="124"/>
      <c r="L4" s="98"/>
      <c r="M4" s="98"/>
    </row>
    <row r="5" spans="1:13" ht="14" x14ac:dyDescent="0.15">
      <c r="A5" s="145"/>
      <c r="B5" s="125" t="s">
        <v>85</v>
      </c>
      <c r="C5" s="106"/>
      <c r="D5" s="106"/>
      <c r="E5" s="106"/>
      <c r="F5" s="106"/>
      <c r="G5" s="106"/>
      <c r="H5" s="123"/>
      <c r="I5" s="123"/>
      <c r="J5" s="123"/>
      <c r="K5" s="124"/>
      <c r="L5" s="98"/>
      <c r="M5" s="98"/>
    </row>
    <row r="6" spans="1:13" ht="14" x14ac:dyDescent="0.15">
      <c r="A6" s="316"/>
      <c r="B6" s="125"/>
      <c r="C6" s="106"/>
      <c r="D6" s="106"/>
      <c r="E6" s="106"/>
      <c r="F6" s="106"/>
      <c r="G6" s="106"/>
      <c r="H6" s="123"/>
      <c r="I6" s="123"/>
      <c r="J6" s="123"/>
      <c r="K6" s="124"/>
      <c r="L6" s="98"/>
      <c r="M6" s="98"/>
    </row>
    <row r="7" spans="1:13" ht="18" customHeight="1" x14ac:dyDescent="0.15">
      <c r="A7" s="316"/>
      <c r="B7" s="317" t="s">
        <v>182</v>
      </c>
      <c r="C7" s="455" t="s">
        <v>195</v>
      </c>
      <c r="D7" s="106"/>
      <c r="E7" s="123" t="s">
        <v>195</v>
      </c>
      <c r="F7" s="123" t="s">
        <v>196</v>
      </c>
      <c r="G7" s="123"/>
      <c r="H7" s="123"/>
      <c r="I7" s="123"/>
      <c r="J7" s="123"/>
      <c r="K7" s="124"/>
      <c r="L7" s="98"/>
      <c r="M7" s="98"/>
    </row>
    <row r="8" spans="1:13" ht="15" customHeight="1" x14ac:dyDescent="0.15">
      <c r="A8" s="119"/>
      <c r="B8" s="120"/>
      <c r="C8" s="121"/>
      <c r="D8" s="121"/>
      <c r="E8" s="121"/>
      <c r="F8" s="122"/>
      <c r="G8" s="121"/>
      <c r="H8" s="123" t="s">
        <v>72</v>
      </c>
      <c r="I8" s="123" t="s">
        <v>77</v>
      </c>
      <c r="J8" s="123" t="s">
        <v>74</v>
      </c>
      <c r="K8" s="124"/>
      <c r="L8" s="98"/>
      <c r="M8" s="98"/>
    </row>
    <row r="9" spans="1:13" x14ac:dyDescent="0.15">
      <c r="A9" s="119"/>
      <c r="B9" s="151" t="s">
        <v>148</v>
      </c>
      <c r="C9" s="151"/>
      <c r="D9" s="151"/>
      <c r="E9" s="121"/>
      <c r="F9" s="121"/>
      <c r="G9" s="121"/>
      <c r="H9" s="123"/>
      <c r="I9" s="126"/>
      <c r="J9" s="123"/>
      <c r="K9" s="127"/>
      <c r="L9" s="99"/>
      <c r="M9" s="100"/>
    </row>
    <row r="10" spans="1:13" x14ac:dyDescent="0.15">
      <c r="A10" s="119"/>
      <c r="B10" s="109" t="s">
        <v>147</v>
      </c>
      <c r="C10" s="110" t="s">
        <v>80</v>
      </c>
      <c r="D10" s="120"/>
      <c r="E10" s="123"/>
      <c r="F10" s="476"/>
      <c r="G10" s="476"/>
      <c r="H10" s="476"/>
      <c r="I10" s="476"/>
      <c r="J10" s="476"/>
      <c r="K10" s="475"/>
      <c r="L10" s="99"/>
      <c r="M10" s="98"/>
    </row>
    <row r="11" spans="1:13" ht="16" customHeight="1" x14ac:dyDescent="0.15">
      <c r="A11" s="119"/>
      <c r="B11" s="108">
        <v>1</v>
      </c>
      <c r="C11" s="128" t="s">
        <v>35</v>
      </c>
      <c r="D11" s="123"/>
      <c r="E11" s="123"/>
      <c r="F11" s="476"/>
      <c r="G11" s="476"/>
      <c r="H11" s="476"/>
      <c r="I11" s="476"/>
      <c r="J11" s="476"/>
      <c r="K11" s="475"/>
      <c r="L11" s="102"/>
      <c r="M11" s="102"/>
    </row>
    <row r="12" spans="1:13" ht="17" customHeight="1" x14ac:dyDescent="0.15">
      <c r="A12" s="119"/>
      <c r="B12" s="60">
        <v>2</v>
      </c>
      <c r="C12" s="128" t="s">
        <v>36</v>
      </c>
      <c r="D12" s="123"/>
      <c r="E12" s="123"/>
      <c r="F12" s="476"/>
      <c r="G12" s="476"/>
      <c r="H12" s="476"/>
      <c r="I12" s="476"/>
      <c r="J12" s="476"/>
      <c r="K12" s="475"/>
      <c r="L12" s="102"/>
      <c r="M12" s="102"/>
    </row>
    <row r="13" spans="1:13" ht="15" customHeight="1" x14ac:dyDescent="0.15">
      <c r="A13" s="119"/>
      <c r="B13" s="103">
        <v>2</v>
      </c>
      <c r="C13" s="128" t="s">
        <v>37</v>
      </c>
      <c r="D13" s="123"/>
      <c r="E13" s="121"/>
      <c r="F13" s="474"/>
      <c r="G13" s="474"/>
      <c r="H13" s="474"/>
      <c r="I13" s="474"/>
      <c r="J13" s="474"/>
      <c r="K13" s="475"/>
      <c r="L13" s="22"/>
      <c r="M13" s="13"/>
    </row>
    <row r="14" spans="1:13" ht="17" customHeight="1" x14ac:dyDescent="0.15">
      <c r="A14" s="119"/>
      <c r="B14" s="104">
        <v>1</v>
      </c>
      <c r="C14" s="128" t="s">
        <v>76</v>
      </c>
      <c r="D14" s="123"/>
      <c r="E14" s="120"/>
      <c r="F14" s="474"/>
      <c r="G14" s="474"/>
      <c r="H14" s="474"/>
      <c r="I14" s="474"/>
      <c r="J14" s="474"/>
      <c r="K14" s="475"/>
      <c r="L14" s="22"/>
      <c r="M14" s="13"/>
    </row>
    <row r="15" spans="1:13" ht="17" customHeight="1" x14ac:dyDescent="0.15">
      <c r="A15" s="119"/>
      <c r="B15" s="82">
        <f>SUM(B11:B14)</f>
        <v>6</v>
      </c>
      <c r="C15" s="80" t="s">
        <v>149</v>
      </c>
      <c r="D15" s="121"/>
      <c r="E15" s="121"/>
      <c r="F15" s="474"/>
      <c r="G15" s="474"/>
      <c r="H15" s="474"/>
      <c r="I15" s="474"/>
      <c r="J15" s="474"/>
      <c r="K15" s="475"/>
    </row>
    <row r="16" spans="1:13" ht="12.75" customHeight="1" x14ac:dyDescent="0.15">
      <c r="A16" s="334">
        <f>SUM(B11:B13)</f>
        <v>5</v>
      </c>
      <c r="B16" s="335" t="str">
        <f>IF(AND(C7="Small Home",A16&gt;6),"Exceeds Licensing Regulations", " ")</f>
        <v xml:space="preserve"> </v>
      </c>
      <c r="C16" s="335" t="str">
        <f>IF(AND(C7="Large Home",A16&gt;12),"Exceeds Licensing Regulations", " ")</f>
        <v xml:space="preserve"> </v>
      </c>
      <c r="D16" s="106"/>
      <c r="E16" s="120"/>
      <c r="F16" s="121"/>
      <c r="G16" s="120"/>
      <c r="H16" s="121"/>
      <c r="I16" s="121"/>
      <c r="J16" s="122"/>
      <c r="K16" s="129"/>
    </row>
    <row r="17" spans="1:17" x14ac:dyDescent="0.15">
      <c r="A17" s="119"/>
      <c r="C17" s="121"/>
      <c r="D17" s="121"/>
      <c r="E17" s="121"/>
      <c r="F17" s="121"/>
      <c r="G17" s="121"/>
      <c r="H17" s="121"/>
      <c r="I17" s="121"/>
      <c r="J17" s="121"/>
      <c r="K17" s="129"/>
    </row>
    <row r="18" spans="1:17" ht="15" customHeight="1" x14ac:dyDescent="0.15">
      <c r="A18" s="119"/>
      <c r="B18" s="134" t="s">
        <v>258</v>
      </c>
      <c r="C18" s="134"/>
      <c r="D18" s="134"/>
      <c r="E18" s="107"/>
      <c r="F18" s="130"/>
      <c r="G18" s="121"/>
      <c r="H18" s="121"/>
      <c r="I18" s="121"/>
      <c r="J18" s="121"/>
      <c r="K18" s="129"/>
    </row>
    <row r="19" spans="1:17" ht="28" x14ac:dyDescent="0.15">
      <c r="A19" s="119"/>
      <c r="B19" s="152" t="s">
        <v>96</v>
      </c>
      <c r="C19" s="438" t="s">
        <v>150</v>
      </c>
      <c r="D19" s="439" t="s">
        <v>186</v>
      </c>
      <c r="E19" s="331"/>
      <c r="F19" s="383"/>
      <c r="G19" s="121"/>
      <c r="H19" s="121"/>
      <c r="I19" s="105"/>
      <c r="J19" s="121"/>
      <c r="K19" s="129"/>
    </row>
    <row r="20" spans="1:17" x14ac:dyDescent="0.15">
      <c r="A20" s="119"/>
      <c r="B20" s="440" t="s">
        <v>259</v>
      </c>
      <c r="C20" s="450">
        <v>0</v>
      </c>
      <c r="D20" s="450">
        <v>1</v>
      </c>
      <c r="E20" s="331"/>
      <c r="F20" s="383"/>
      <c r="G20" s="121"/>
      <c r="H20" s="121"/>
      <c r="I20" s="105"/>
      <c r="J20" s="121"/>
      <c r="K20" s="129"/>
    </row>
    <row r="21" spans="1:17" x14ac:dyDescent="0.15">
      <c r="A21" s="119"/>
      <c r="B21" s="294" t="s">
        <v>199</v>
      </c>
      <c r="C21" s="450">
        <v>1</v>
      </c>
      <c r="D21" s="450"/>
      <c r="E21" s="237"/>
      <c r="F21" s="384"/>
      <c r="G21" s="381"/>
      <c r="H21" s="121"/>
      <c r="I21" s="105"/>
      <c r="J21" s="121"/>
      <c r="K21" s="129"/>
    </row>
    <row r="22" spans="1:17" x14ac:dyDescent="0.15">
      <c r="A22" s="119"/>
      <c r="B22" s="294" t="s">
        <v>200</v>
      </c>
      <c r="C22" s="450"/>
      <c r="D22" s="450"/>
      <c r="E22" s="237"/>
      <c r="F22" s="385"/>
      <c r="G22" s="382"/>
      <c r="H22" s="121"/>
      <c r="I22" s="105"/>
      <c r="J22" s="121"/>
      <c r="K22" s="129"/>
    </row>
    <row r="23" spans="1:17" x14ac:dyDescent="0.15">
      <c r="A23" s="119"/>
      <c r="B23" s="294" t="s">
        <v>201</v>
      </c>
      <c r="C23" s="450"/>
      <c r="D23" s="450"/>
      <c r="E23" s="237"/>
      <c r="F23" s="385"/>
      <c r="G23" s="382"/>
      <c r="H23" s="121"/>
      <c r="I23" s="105"/>
      <c r="J23" s="121"/>
      <c r="K23" s="129"/>
    </row>
    <row r="24" spans="1:17" x14ac:dyDescent="0.15">
      <c r="A24" s="119"/>
      <c r="B24" s="294" t="s">
        <v>202</v>
      </c>
      <c r="C24" s="450"/>
      <c r="D24" s="450"/>
      <c r="E24" s="237"/>
      <c r="F24" s="384"/>
      <c r="G24" s="381"/>
      <c r="H24" s="121"/>
      <c r="I24" s="105"/>
      <c r="J24" s="121"/>
      <c r="K24" s="129"/>
    </row>
    <row r="25" spans="1:17" x14ac:dyDescent="0.15">
      <c r="A25" s="119"/>
      <c r="B25" s="295" t="s">
        <v>203</v>
      </c>
      <c r="C25" s="450"/>
      <c r="D25" s="450"/>
      <c r="E25" s="237"/>
      <c r="F25" s="237"/>
      <c r="G25" s="237"/>
      <c r="H25" s="121"/>
      <c r="I25" s="121"/>
      <c r="J25" s="121"/>
      <c r="K25" s="129"/>
    </row>
    <row r="26" spans="1:17" x14ac:dyDescent="0.15">
      <c r="A26" s="119"/>
      <c r="B26" s="197"/>
      <c r="C26" s="198">
        <f>SUM(C20:C25)</f>
        <v>1</v>
      </c>
      <c r="D26" s="198">
        <f>SUM(D20:D25)</f>
        <v>1</v>
      </c>
      <c r="E26" s="199"/>
      <c r="F26" s="112">
        <f>SUM(F25:F25)</f>
        <v>0</v>
      </c>
      <c r="G26" s="112">
        <f>SUM(G25:G25)</f>
        <v>0</v>
      </c>
      <c r="H26" s="121"/>
      <c r="I26" s="121"/>
      <c r="J26" s="121"/>
      <c r="K26" s="129"/>
      <c r="L26" s="98"/>
      <c r="M26" s="98"/>
      <c r="N26" s="98"/>
      <c r="O26" s="98"/>
    </row>
    <row r="27" spans="1:17" ht="9" customHeight="1" thickBot="1" x14ac:dyDescent="0.2">
      <c r="A27" s="119"/>
      <c r="B27" s="197"/>
      <c r="C27" s="200" t="str">
        <f>IF(C26=1," ","total must=100%")</f>
        <v xml:space="preserve"> </v>
      </c>
      <c r="D27" s="200" t="str">
        <f>IF(D26=1," ","total must=100%")</f>
        <v xml:space="preserve"> </v>
      </c>
      <c r="E27" s="199"/>
      <c r="F27" s="112"/>
      <c r="G27" s="112"/>
      <c r="H27" s="121"/>
      <c r="I27" s="121"/>
      <c r="J27" s="121"/>
      <c r="K27" s="129"/>
      <c r="L27" s="98"/>
      <c r="M27" s="98"/>
      <c r="N27" s="98"/>
      <c r="O27" s="98"/>
    </row>
    <row r="28" spans="1:17" ht="13" customHeight="1" x14ac:dyDescent="0.15">
      <c r="A28" s="119"/>
      <c r="B28" s="197" t="s">
        <v>143</v>
      </c>
      <c r="C28" s="451" t="s">
        <v>144</v>
      </c>
      <c r="D28" s="472" t="s">
        <v>188</v>
      </c>
      <c r="E28" s="472"/>
      <c r="F28" s="472"/>
      <c r="G28" s="473"/>
      <c r="H28" s="206" t="s">
        <v>143</v>
      </c>
      <c r="I28" s="207"/>
      <c r="J28" s="201"/>
      <c r="K28" s="129"/>
      <c r="L28" s="98" t="s">
        <v>26</v>
      </c>
      <c r="M28" s="98" t="s">
        <v>144</v>
      </c>
      <c r="N28" s="98"/>
      <c r="O28" s="98"/>
    </row>
    <row r="29" spans="1:17" ht="19" customHeight="1" x14ac:dyDescent="0.15">
      <c r="A29" s="119"/>
      <c r="B29" s="195"/>
      <c r="D29" s="472"/>
      <c r="E29" s="472"/>
      <c r="F29" s="472"/>
      <c r="G29" s="473"/>
      <c r="H29" s="202"/>
      <c r="I29" s="205" t="s">
        <v>145</v>
      </c>
      <c r="J29" s="391" t="s">
        <v>146</v>
      </c>
      <c r="K29" s="129"/>
      <c r="L29" s="98"/>
      <c r="M29" s="98"/>
      <c r="N29" s="98"/>
      <c r="O29" s="98"/>
    </row>
    <row r="30" spans="1:17" s="14" customFormat="1" x14ac:dyDescent="0.15">
      <c r="A30" s="132"/>
      <c r="B30" s="134" t="s">
        <v>287</v>
      </c>
      <c r="C30" s="134"/>
      <c r="D30" s="134"/>
      <c r="E30" s="123"/>
      <c r="F30" s="113"/>
      <c r="G30" s="320"/>
      <c r="H30" s="203"/>
      <c r="I30" s="289" t="s">
        <v>151</v>
      </c>
      <c r="J30" s="452">
        <v>50000</v>
      </c>
      <c r="K30" s="133"/>
      <c r="L30" s="98"/>
      <c r="M30" s="98"/>
      <c r="N30" s="98"/>
      <c r="O30" s="98"/>
    </row>
    <row r="31" spans="1:17" ht="17" customHeight="1" x14ac:dyDescent="0.15">
      <c r="A31" s="119"/>
      <c r="B31" s="479" t="s">
        <v>298</v>
      </c>
      <c r="C31" s="480"/>
      <c r="D31" s="481" t="s">
        <v>291</v>
      </c>
      <c r="E31" s="482"/>
      <c r="F31" s="111"/>
      <c r="G31" s="105"/>
      <c r="H31" s="202"/>
      <c r="I31" s="204" t="s">
        <v>25</v>
      </c>
      <c r="J31" s="453">
        <v>31250</v>
      </c>
      <c r="K31" s="129"/>
      <c r="L31" s="98"/>
      <c r="M31" s="98"/>
      <c r="N31" s="98"/>
      <c r="O31" s="98"/>
    </row>
    <row r="32" spans="1:17" ht="17" customHeight="1" thickBot="1" x14ac:dyDescent="0.2">
      <c r="A32" s="119"/>
      <c r="B32" s="477" t="s">
        <v>75</v>
      </c>
      <c r="C32" s="478"/>
      <c r="D32" s="466" t="s">
        <v>236</v>
      </c>
      <c r="E32" s="466"/>
      <c r="F32" s="363"/>
      <c r="G32" s="105"/>
      <c r="H32" s="321"/>
      <c r="I32" s="204" t="s">
        <v>170</v>
      </c>
      <c r="J32" s="454">
        <v>21840</v>
      </c>
      <c r="K32" s="129"/>
      <c r="L32" s="98" t="s">
        <v>236</v>
      </c>
      <c r="M32" s="98" t="s">
        <v>237</v>
      </c>
      <c r="N32" s="98" t="s">
        <v>238</v>
      </c>
      <c r="O32" s="365" t="s">
        <v>239</v>
      </c>
      <c r="P32" s="53"/>
      <c r="Q32" s="366"/>
    </row>
    <row r="33" spans="1:17" ht="17" customHeight="1" x14ac:dyDescent="0.15">
      <c r="A33" s="119"/>
      <c r="B33" s="27"/>
      <c r="C33" s="344" t="s">
        <v>81</v>
      </c>
      <c r="D33" s="466" t="s">
        <v>236</v>
      </c>
      <c r="E33" s="466"/>
      <c r="F33" s="114"/>
      <c r="G33" s="111"/>
      <c r="H33" s="116"/>
      <c r="I33" s="287"/>
      <c r="J33" s="288"/>
      <c r="K33" s="129"/>
      <c r="L33" s="98" t="s">
        <v>236</v>
      </c>
      <c r="M33" s="98" t="s">
        <v>240</v>
      </c>
      <c r="N33" s="98" t="s">
        <v>241</v>
      </c>
      <c r="O33" s="365" t="s">
        <v>296</v>
      </c>
      <c r="P33" s="53"/>
      <c r="Q33" s="366"/>
    </row>
    <row r="34" spans="1:17" ht="17" customHeight="1" x14ac:dyDescent="0.15">
      <c r="A34" s="119"/>
      <c r="B34" s="27"/>
      <c r="C34" s="293" t="s">
        <v>288</v>
      </c>
      <c r="D34" s="466" t="s">
        <v>236</v>
      </c>
      <c r="E34" s="466"/>
      <c r="F34" s="111"/>
      <c r="G34" s="111"/>
      <c r="H34" s="114"/>
      <c r="I34" s="121"/>
      <c r="J34" s="288"/>
      <c r="K34" s="129"/>
      <c r="L34" s="98" t="s">
        <v>236</v>
      </c>
      <c r="M34" s="98" t="s">
        <v>242</v>
      </c>
      <c r="N34" s="98" t="s">
        <v>243</v>
      </c>
      <c r="O34" s="98"/>
      <c r="P34" s="53"/>
      <c r="Q34" s="366"/>
    </row>
    <row r="35" spans="1:17" ht="17" customHeight="1" x14ac:dyDescent="0.15">
      <c r="A35" s="119"/>
      <c r="B35" s="470" t="s">
        <v>289</v>
      </c>
      <c r="C35" s="471"/>
      <c r="D35" s="466" t="s">
        <v>236</v>
      </c>
      <c r="E35" s="466"/>
      <c r="F35" s="111"/>
      <c r="G35" s="111"/>
      <c r="H35" s="114"/>
      <c r="I35" s="121"/>
      <c r="J35" s="288"/>
      <c r="K35" s="129"/>
      <c r="L35" s="98" t="s">
        <v>236</v>
      </c>
      <c r="M35" s="98" t="s">
        <v>248</v>
      </c>
      <c r="N35" s="98" t="s">
        <v>249</v>
      </c>
      <c r="O35" s="98" t="s">
        <v>250</v>
      </c>
      <c r="P35" s="53"/>
      <c r="Q35" s="366"/>
    </row>
    <row r="36" spans="1:17" ht="17" customHeight="1" x14ac:dyDescent="0.15">
      <c r="A36" s="119"/>
      <c r="B36" s="27"/>
      <c r="C36" s="293" t="s">
        <v>299</v>
      </c>
      <c r="D36" s="466" t="s">
        <v>236</v>
      </c>
      <c r="E36" s="466"/>
      <c r="F36" s="111"/>
      <c r="G36" s="111"/>
      <c r="H36" s="114"/>
      <c r="I36" s="121"/>
      <c r="J36" s="288"/>
      <c r="K36" s="129"/>
      <c r="L36" s="98" t="s">
        <v>236</v>
      </c>
      <c r="M36" s="98" t="s">
        <v>244</v>
      </c>
      <c r="N36" s="98"/>
      <c r="O36" s="98"/>
      <c r="P36" s="53"/>
      <c r="Q36" s="366"/>
    </row>
    <row r="37" spans="1:17" ht="17" customHeight="1" x14ac:dyDescent="0.15">
      <c r="A37" s="119"/>
      <c r="B37" s="462" t="s">
        <v>290</v>
      </c>
      <c r="C37" s="463"/>
      <c r="D37" s="466" t="s">
        <v>245</v>
      </c>
      <c r="E37" s="466"/>
      <c r="F37" s="111"/>
      <c r="G37" s="111"/>
      <c r="H37" s="114"/>
      <c r="I37" s="121"/>
      <c r="J37" s="288"/>
      <c r="K37" s="129"/>
      <c r="L37" s="98" t="s">
        <v>245</v>
      </c>
      <c r="M37" s="98" t="s">
        <v>246</v>
      </c>
      <c r="N37" s="98"/>
      <c r="O37" s="98"/>
      <c r="P37" s="53"/>
      <c r="Q37" s="366"/>
    </row>
    <row r="38" spans="1:17" ht="17" customHeight="1" x14ac:dyDescent="0.15">
      <c r="A38" s="119"/>
      <c r="B38" s="467" t="s">
        <v>297</v>
      </c>
      <c r="C38" s="468"/>
      <c r="D38" s="469">
        <v>0</v>
      </c>
      <c r="E38" s="469"/>
      <c r="F38" s="363" t="s">
        <v>300</v>
      </c>
      <c r="G38" s="111"/>
      <c r="H38" s="114"/>
      <c r="I38" s="121"/>
      <c r="J38" s="288"/>
      <c r="K38" s="129"/>
      <c r="L38" s="98"/>
      <c r="M38" s="98"/>
      <c r="N38" s="98"/>
      <c r="O38" s="98"/>
      <c r="P38" s="53"/>
      <c r="Q38" s="366"/>
    </row>
    <row r="39" spans="1:17" ht="17" customHeight="1" x14ac:dyDescent="0.15">
      <c r="A39" s="119"/>
      <c r="B39" s="121"/>
      <c r="C39" s="329"/>
      <c r="D39" s="111"/>
      <c r="E39" s="111"/>
      <c r="F39" s="111"/>
      <c r="G39" s="111"/>
      <c r="H39" s="114"/>
      <c r="I39" s="121"/>
      <c r="J39" s="288"/>
      <c r="K39" s="129"/>
      <c r="L39" s="98"/>
      <c r="M39" s="98"/>
      <c r="N39" s="98"/>
      <c r="O39" s="98"/>
    </row>
    <row r="40" spans="1:17" ht="17" customHeight="1" x14ac:dyDescent="0.15">
      <c r="A40" s="119"/>
      <c r="B40" s="153" t="s">
        <v>260</v>
      </c>
      <c r="C40" s="153"/>
      <c r="D40" s="153"/>
      <c r="E40" s="330"/>
      <c r="F40" s="111"/>
      <c r="G40" s="111"/>
      <c r="H40" s="114"/>
      <c r="I40" s="121"/>
      <c r="J40" s="288"/>
      <c r="K40" s="129"/>
      <c r="M40" s="98"/>
      <c r="N40" s="98"/>
      <c r="O40" s="98"/>
    </row>
    <row r="41" spans="1:17" ht="17" customHeight="1" x14ac:dyDescent="0.15">
      <c r="A41" s="119"/>
      <c r="B41" s="131"/>
      <c r="C41" s="2" t="s">
        <v>260</v>
      </c>
      <c r="D41" s="456">
        <v>10</v>
      </c>
      <c r="E41" s="393" t="s">
        <v>261</v>
      </c>
      <c r="F41" s="111"/>
      <c r="G41" s="111"/>
      <c r="H41" s="448"/>
      <c r="I41" s="121"/>
      <c r="J41" s="288"/>
      <c r="K41" s="129"/>
    </row>
    <row r="42" spans="1:17" ht="17" customHeight="1" x14ac:dyDescent="0.15">
      <c r="A42" s="119"/>
      <c r="B42" s="30"/>
      <c r="C42" s="121"/>
      <c r="D42" s="121"/>
      <c r="E42" s="122"/>
      <c r="F42" s="121"/>
      <c r="G42" s="121"/>
      <c r="H42" s="121"/>
      <c r="I42" s="123" t="s">
        <v>26</v>
      </c>
      <c r="J42" s="123" t="s">
        <v>144</v>
      </c>
      <c r="K42" s="129"/>
    </row>
    <row r="43" spans="1:17" x14ac:dyDescent="0.15">
      <c r="A43" s="119"/>
      <c r="B43" s="153" t="s">
        <v>93</v>
      </c>
      <c r="C43" s="153"/>
      <c r="D43" s="153"/>
      <c r="E43" s="105"/>
      <c r="F43" s="105"/>
      <c r="G43" s="105"/>
      <c r="H43" s="105"/>
      <c r="I43" s="105"/>
      <c r="J43" s="105"/>
      <c r="K43" s="129"/>
    </row>
    <row r="44" spans="1:17" ht="17" customHeight="1" x14ac:dyDescent="0.15">
      <c r="A44" s="119"/>
      <c r="B44" s="121"/>
      <c r="C44" s="94" t="s">
        <v>24</v>
      </c>
      <c r="D44" s="104" t="s">
        <v>26</v>
      </c>
      <c r="E44" s="464" t="s">
        <v>30</v>
      </c>
      <c r="F44" s="465"/>
      <c r="G44" s="465"/>
      <c r="H44" s="465"/>
      <c r="I44" s="465"/>
      <c r="J44" s="465"/>
      <c r="K44" s="129"/>
    </row>
    <row r="45" spans="1:17" ht="17" customHeight="1" x14ac:dyDescent="0.15">
      <c r="A45" s="119"/>
      <c r="B45" s="121"/>
      <c r="C45" s="95" t="s">
        <v>28</v>
      </c>
      <c r="D45" s="457">
        <v>10</v>
      </c>
      <c r="E45" s="345" t="s">
        <v>43</v>
      </c>
      <c r="F45" s="346"/>
      <c r="G45" s="346"/>
      <c r="H45" s="346"/>
      <c r="I45" s="346"/>
      <c r="J45" s="346"/>
      <c r="K45" s="129"/>
    </row>
    <row r="46" spans="1:17" ht="17" customHeight="1" x14ac:dyDescent="0.15">
      <c r="A46" s="119"/>
      <c r="B46" s="121"/>
      <c r="C46" s="96" t="s">
        <v>29</v>
      </c>
      <c r="D46" s="457">
        <v>10</v>
      </c>
      <c r="E46" s="138" t="s">
        <v>44</v>
      </c>
      <c r="F46" s="121"/>
      <c r="G46" s="121"/>
      <c r="H46" s="121"/>
      <c r="I46" s="121"/>
      <c r="J46" s="121"/>
      <c r="K46" s="129"/>
    </row>
    <row r="47" spans="1:17" ht="16" customHeight="1" x14ac:dyDescent="0.15">
      <c r="A47" s="119"/>
      <c r="B47" s="121"/>
      <c r="C47" s="121"/>
      <c r="D47" s="121"/>
      <c r="E47" s="121"/>
      <c r="F47" s="121"/>
      <c r="G47" s="121"/>
      <c r="H47" s="106"/>
      <c r="I47" s="121"/>
      <c r="J47" s="121"/>
      <c r="K47" s="129"/>
    </row>
    <row r="48" spans="1:17" x14ac:dyDescent="0.15">
      <c r="A48" s="119"/>
      <c r="B48" s="134" t="s">
        <v>18</v>
      </c>
      <c r="C48" s="134"/>
      <c r="D48" s="134"/>
      <c r="E48" s="105"/>
      <c r="F48" s="105"/>
      <c r="G48" s="121"/>
      <c r="H48" s="121"/>
      <c r="I48" s="121"/>
      <c r="J48" s="121"/>
      <c r="K48" s="129"/>
    </row>
    <row r="49" spans="1:15" x14ac:dyDescent="0.15">
      <c r="A49" s="119"/>
      <c r="B49" s="135"/>
      <c r="C49" s="392" t="s">
        <v>21</v>
      </c>
      <c r="D49" s="458">
        <v>0.85</v>
      </c>
      <c r="E49" s="130" t="s">
        <v>16</v>
      </c>
      <c r="F49" s="105"/>
      <c r="G49" s="121"/>
      <c r="H49" s="121"/>
      <c r="I49" s="121"/>
      <c r="J49" s="121"/>
      <c r="K49" s="129"/>
    </row>
    <row r="50" spans="1:15" x14ac:dyDescent="0.15">
      <c r="A50" s="119"/>
      <c r="B50" s="131"/>
      <c r="C50" s="392" t="s">
        <v>17</v>
      </c>
      <c r="D50" s="458">
        <v>0.03</v>
      </c>
      <c r="E50" s="130" t="s">
        <v>8</v>
      </c>
      <c r="F50" s="105"/>
      <c r="G50" s="121"/>
      <c r="H50" s="121"/>
      <c r="I50" s="121"/>
      <c r="J50" s="121"/>
      <c r="K50" s="129"/>
    </row>
    <row r="51" spans="1:15" x14ac:dyDescent="0.15">
      <c r="A51" s="119"/>
      <c r="B51" s="131"/>
      <c r="C51" s="136"/>
      <c r="D51" s="121"/>
      <c r="E51" s="107"/>
      <c r="F51" s="130"/>
      <c r="G51" s="121"/>
      <c r="H51" s="121"/>
      <c r="I51" s="121"/>
      <c r="J51" s="121"/>
      <c r="K51" s="129"/>
    </row>
    <row r="52" spans="1:15" x14ac:dyDescent="0.15">
      <c r="A52" s="119"/>
      <c r="B52" s="134" t="s">
        <v>97</v>
      </c>
      <c r="C52" s="134"/>
      <c r="D52" s="134"/>
      <c r="E52" s="107"/>
      <c r="F52" s="130"/>
      <c r="G52" s="121"/>
      <c r="H52" s="121"/>
      <c r="I52" s="121"/>
      <c r="J52" s="121"/>
      <c r="K52" s="129"/>
    </row>
    <row r="53" spans="1:15" x14ac:dyDescent="0.15">
      <c r="A53" s="119"/>
      <c r="B53" s="346" t="s">
        <v>101</v>
      </c>
      <c r="C53" s="136"/>
      <c r="D53" s="121"/>
      <c r="E53" s="121"/>
      <c r="F53" s="121"/>
      <c r="G53" s="129"/>
      <c r="K53" s="129"/>
    </row>
    <row r="54" spans="1:15" ht="28" customHeight="1" x14ac:dyDescent="0.15">
      <c r="A54" s="119"/>
      <c r="B54" s="105"/>
      <c r="C54" s="160" t="s">
        <v>204</v>
      </c>
      <c r="D54" s="160" t="s">
        <v>235</v>
      </c>
      <c r="E54" s="161" t="s">
        <v>98</v>
      </c>
      <c r="F54" s="105"/>
      <c r="G54" s="122"/>
      <c r="H54" s="122"/>
      <c r="I54" s="122"/>
      <c r="J54" s="122"/>
      <c r="K54" s="129"/>
    </row>
    <row r="55" spans="1:15" x14ac:dyDescent="0.15">
      <c r="A55" s="119"/>
      <c r="B55" s="290" t="s">
        <v>35</v>
      </c>
      <c r="C55" s="459">
        <v>0</v>
      </c>
      <c r="D55" s="459">
        <v>1</v>
      </c>
      <c r="E55" s="238">
        <f>B11-D55-C55</f>
        <v>0</v>
      </c>
      <c r="F55" s="105"/>
      <c r="G55" s="121"/>
      <c r="H55" s="121"/>
      <c r="I55" s="121"/>
      <c r="J55" s="121"/>
      <c r="K55" s="129"/>
    </row>
    <row r="56" spans="1:15" x14ac:dyDescent="0.15">
      <c r="A56" s="119"/>
      <c r="B56" s="291" t="s">
        <v>36</v>
      </c>
      <c r="C56" s="459">
        <v>1</v>
      </c>
      <c r="D56" s="459">
        <v>0</v>
      </c>
      <c r="E56" s="238">
        <f>B12-D56-C56</f>
        <v>1</v>
      </c>
      <c r="F56" s="105"/>
      <c r="G56" s="121"/>
      <c r="H56" s="121"/>
      <c r="I56" s="121"/>
      <c r="J56" s="121"/>
      <c r="K56" s="129"/>
    </row>
    <row r="57" spans="1:15" x14ac:dyDescent="0.15">
      <c r="A57" s="119"/>
      <c r="B57" s="291" t="s">
        <v>37</v>
      </c>
      <c r="C57" s="459">
        <v>1</v>
      </c>
      <c r="D57" s="459">
        <v>0</v>
      </c>
      <c r="E57" s="238">
        <f>B13-D57-C57</f>
        <v>1</v>
      </c>
      <c r="F57" s="105"/>
      <c r="G57" s="121"/>
      <c r="H57" s="121"/>
      <c r="I57" s="121"/>
      <c r="J57" s="121"/>
      <c r="K57" s="129"/>
    </row>
    <row r="58" spans="1:15" x14ac:dyDescent="0.15">
      <c r="A58" s="119"/>
      <c r="B58" s="291" t="s">
        <v>76</v>
      </c>
      <c r="C58" s="459">
        <v>1</v>
      </c>
      <c r="D58" s="459">
        <v>0</v>
      </c>
      <c r="E58" s="238">
        <f>B14-D58-C58</f>
        <v>0</v>
      </c>
      <c r="F58" s="105"/>
      <c r="G58" s="121"/>
      <c r="H58" s="121"/>
      <c r="I58" s="121"/>
      <c r="J58" s="121"/>
      <c r="K58" s="129"/>
    </row>
    <row r="59" spans="1:15" ht="14" thickBot="1" x14ac:dyDescent="0.2">
      <c r="A59" s="119"/>
      <c r="B59" s="292" t="s">
        <v>9</v>
      </c>
      <c r="C59" s="49">
        <f>SUM(C55:C58)</f>
        <v>3</v>
      </c>
      <c r="D59" s="49">
        <f>SUM(D55:D58)</f>
        <v>1</v>
      </c>
      <c r="E59" s="238">
        <f>B15-D59-C59</f>
        <v>2</v>
      </c>
      <c r="F59" s="105"/>
      <c r="G59" s="121"/>
      <c r="H59" s="121"/>
      <c r="I59" s="121"/>
      <c r="J59" s="121"/>
      <c r="K59" s="129"/>
    </row>
    <row r="60" spans="1:15" x14ac:dyDescent="0.15">
      <c r="A60" s="119"/>
      <c r="B60" s="155"/>
      <c r="C60" s="158" t="s">
        <v>99</v>
      </c>
      <c r="D60" s="156">
        <f>SUM(C59:D59)</f>
        <v>4</v>
      </c>
      <c r="E60" s="105"/>
      <c r="F60" s="121"/>
      <c r="G60" s="121"/>
      <c r="H60" s="121"/>
      <c r="I60" s="121"/>
      <c r="J60" s="121"/>
      <c r="K60" s="129"/>
    </row>
    <row r="61" spans="1:15" ht="16" customHeight="1" thickBot="1" x14ac:dyDescent="0.2">
      <c r="A61" s="119"/>
      <c r="B61" s="157"/>
      <c r="C61" s="159" t="s">
        <v>100</v>
      </c>
      <c r="D61" s="162">
        <f>D60/B15</f>
        <v>0.66666666666666663</v>
      </c>
      <c r="E61" s="105"/>
      <c r="F61" s="121"/>
      <c r="G61" s="121"/>
      <c r="H61" s="121"/>
      <c r="I61" s="121"/>
      <c r="J61" s="121"/>
      <c r="K61" s="129"/>
      <c r="N61" s="5"/>
      <c r="O61" s="9"/>
    </row>
    <row r="62" spans="1:15" ht="9" customHeight="1" x14ac:dyDescent="0.15">
      <c r="A62" s="119"/>
      <c r="B62" s="130"/>
      <c r="C62" s="394"/>
      <c r="D62" s="115"/>
      <c r="E62" s="105"/>
      <c r="F62" s="121"/>
      <c r="G62" s="121"/>
      <c r="H62" s="121"/>
      <c r="I62" s="121"/>
      <c r="J62" s="121"/>
      <c r="K62" s="129"/>
      <c r="N62" s="5"/>
      <c r="O62" s="9"/>
    </row>
    <row r="63" spans="1:15" x14ac:dyDescent="0.15">
      <c r="A63" s="119"/>
      <c r="B63" s="395" t="s">
        <v>262</v>
      </c>
      <c r="C63" s="396" t="s">
        <v>263</v>
      </c>
      <c r="D63" s="460">
        <v>500</v>
      </c>
      <c r="E63" s="105"/>
      <c r="F63" s="105"/>
      <c r="G63" s="105"/>
      <c r="H63" s="105"/>
      <c r="I63" s="105"/>
      <c r="J63" s="105"/>
      <c r="K63" s="129"/>
      <c r="N63" s="5"/>
      <c r="O63" s="9"/>
    </row>
    <row r="64" spans="1:15" ht="16" customHeight="1" x14ac:dyDescent="0.15">
      <c r="A64" s="119"/>
      <c r="B64" s="121"/>
      <c r="C64" s="121"/>
      <c r="D64" s="121"/>
      <c r="E64" s="115"/>
      <c r="F64" s="121"/>
      <c r="G64" s="121"/>
      <c r="H64" s="121"/>
      <c r="I64" s="121"/>
      <c r="J64" s="121"/>
      <c r="K64" s="129"/>
      <c r="N64" s="5"/>
      <c r="O64" s="9"/>
    </row>
    <row r="65" spans="1:17" x14ac:dyDescent="0.15">
      <c r="A65" s="202"/>
      <c r="B65" s="397"/>
      <c r="C65" s="397"/>
      <c r="D65" s="398"/>
      <c r="E65" s="397"/>
      <c r="F65" s="397"/>
      <c r="G65" s="397"/>
      <c r="H65" s="397"/>
      <c r="I65" s="397"/>
      <c r="J65" s="397"/>
      <c r="K65" s="399"/>
      <c r="N65" s="5"/>
      <c r="O65" s="9"/>
    </row>
    <row r="66" spans="1:17" ht="14" thickBot="1" x14ac:dyDescent="0.2">
      <c r="A66" s="119"/>
      <c r="B66" s="400"/>
      <c r="C66" s="401"/>
      <c r="D66" s="115"/>
      <c r="E66" s="105"/>
      <c r="F66" s="105"/>
      <c r="G66" s="105"/>
      <c r="H66" s="105"/>
      <c r="I66" s="105"/>
      <c r="J66" s="105"/>
      <c r="K66" s="129"/>
      <c r="N66" s="5"/>
      <c r="O66" s="9"/>
    </row>
    <row r="67" spans="1:17" ht="16" customHeight="1" x14ac:dyDescent="0.15">
      <c r="A67" s="119"/>
      <c r="B67" s="402" t="s">
        <v>264</v>
      </c>
      <c r="C67" s="403"/>
      <c r="D67" s="105"/>
      <c r="E67" s="404" t="s">
        <v>32</v>
      </c>
      <c r="F67" s="140"/>
      <c r="G67" s="141" t="s">
        <v>94</v>
      </c>
      <c r="H67" s="141" t="s">
        <v>11</v>
      </c>
      <c r="I67" s="142" t="s">
        <v>95</v>
      </c>
      <c r="J67" s="105"/>
      <c r="K67" s="129"/>
    </row>
    <row r="68" spans="1:17" ht="14" x14ac:dyDescent="0.15">
      <c r="A68" s="119"/>
      <c r="B68" s="405"/>
      <c r="C68" s="406"/>
      <c r="D68" s="105"/>
      <c r="E68" s="143"/>
      <c r="F68" s="407" t="str">
        <f>'Quality Home Profile'!B7</f>
        <v>Infants</v>
      </c>
      <c r="G68" s="408">
        <f>'Quality Home Profile'!C7</f>
        <v>12591.429719625001</v>
      </c>
      <c r="H68" s="408">
        <f>G68/12</f>
        <v>1049.2858099687501</v>
      </c>
      <c r="I68" s="144">
        <f>G68/52</f>
        <v>242.14287922355771</v>
      </c>
      <c r="J68" s="105"/>
      <c r="K68" s="129"/>
    </row>
    <row r="69" spans="1:17" ht="14" x14ac:dyDescent="0.15">
      <c r="A69" s="119"/>
      <c r="B69" s="412" t="s">
        <v>253</v>
      </c>
      <c r="C69" s="441">
        <f>'Quality Home Profile'!A19</f>
        <v>1</v>
      </c>
      <c r="D69" s="105"/>
      <c r="E69" s="143"/>
      <c r="F69" s="407" t="str">
        <f>'Quality Home Profile'!B8</f>
        <v>Toddlers</v>
      </c>
      <c r="G69" s="408">
        <f>'Quality Home Profile'!C8</f>
        <v>12591.429719625001</v>
      </c>
      <c r="H69" s="408">
        <f>G69/12</f>
        <v>1049.2858099687501</v>
      </c>
      <c r="I69" s="144">
        <f>G69/52</f>
        <v>242.14287922355771</v>
      </c>
      <c r="J69" s="105"/>
      <c r="K69" s="129"/>
    </row>
    <row r="70" spans="1:17" ht="14" x14ac:dyDescent="0.15">
      <c r="A70" s="119"/>
      <c r="B70" s="405"/>
      <c r="C70" s="406"/>
      <c r="D70" s="105"/>
      <c r="E70" s="143"/>
      <c r="F70" s="407" t="str">
        <f>'Quality Home Profile'!B9</f>
        <v>Preschoolers</v>
      </c>
      <c r="G70" s="408">
        <f>'Quality Home Profile'!C9</f>
        <v>12591.429719625001</v>
      </c>
      <c r="H70" s="408">
        <f>G70/12</f>
        <v>1049.2858099687501</v>
      </c>
      <c r="I70" s="144">
        <f>G70/52</f>
        <v>242.14287922355771</v>
      </c>
      <c r="J70" s="105"/>
      <c r="K70" s="129"/>
    </row>
    <row r="71" spans="1:17" ht="15" thickBot="1" x14ac:dyDescent="0.2">
      <c r="A71" s="119"/>
      <c r="B71" s="409" t="s">
        <v>154</v>
      </c>
      <c r="C71" s="406"/>
      <c r="D71" s="105"/>
      <c r="E71" s="143"/>
      <c r="F71" s="407" t="str">
        <f>'Quality Home Profile'!B10</f>
        <v>School age</v>
      </c>
      <c r="G71" s="408">
        <f>'Quality Home Profile'!C10</f>
        <v>6995.2387331250002</v>
      </c>
      <c r="H71" s="408">
        <f t="shared" ref="H71" si="0">G71/12</f>
        <v>582.93656109375002</v>
      </c>
      <c r="I71" s="144">
        <f t="shared" ref="I71" si="1">G71/52</f>
        <v>134.52382179086538</v>
      </c>
      <c r="J71" s="105"/>
      <c r="K71" s="129"/>
      <c r="L71" s="442" t="s">
        <v>217</v>
      </c>
      <c r="M71" s="442" t="s">
        <v>218</v>
      </c>
      <c r="N71" s="442" t="s">
        <v>219</v>
      </c>
    </row>
    <row r="72" spans="1:17" ht="15" thickBot="1" x14ac:dyDescent="0.2">
      <c r="A72" s="119"/>
      <c r="B72" s="410" t="s">
        <v>265</v>
      </c>
      <c r="C72" s="411">
        <f>'Quality Home Profile'!D26</f>
        <v>42264</v>
      </c>
      <c r="D72" s="105"/>
      <c r="E72" s="116"/>
      <c r="F72" s="116"/>
      <c r="G72" s="116"/>
      <c r="H72" s="116"/>
      <c r="I72" s="116"/>
      <c r="J72" s="121"/>
      <c r="K72" s="129"/>
      <c r="M72" s="98"/>
      <c r="N72" s="98"/>
      <c r="O72" s="98"/>
      <c r="P72" s="98"/>
      <c r="Q72" s="98"/>
    </row>
    <row r="73" spans="1:17" ht="14" x14ac:dyDescent="0.15">
      <c r="A73" s="119"/>
      <c r="B73" s="410" t="s">
        <v>266</v>
      </c>
      <c r="C73" s="411">
        <f>SUM('Quality Home Profile'!D33,'Quality Home Profile'!D39)</f>
        <v>12166.796</v>
      </c>
      <c r="D73" s="105"/>
      <c r="E73" s="415" t="s">
        <v>283</v>
      </c>
      <c r="F73" s="416"/>
      <c r="G73" s="417" t="s">
        <v>11</v>
      </c>
      <c r="H73" s="489" t="s">
        <v>282</v>
      </c>
      <c r="I73" s="490"/>
      <c r="J73" s="105"/>
      <c r="K73" s="129"/>
      <c r="M73" s="98"/>
      <c r="N73" s="98"/>
      <c r="O73" s="98"/>
      <c r="P73" s="98"/>
      <c r="Q73" s="98"/>
    </row>
    <row r="74" spans="1:17" ht="14" x14ac:dyDescent="0.15">
      <c r="A74" s="119"/>
      <c r="B74" s="412" t="s">
        <v>267</v>
      </c>
      <c r="C74" s="413">
        <f>SUM(C72:C73)</f>
        <v>54430.796000000002</v>
      </c>
      <c r="D74" s="105"/>
      <c r="E74" s="418" t="s">
        <v>269</v>
      </c>
      <c r="F74" s="446" t="str">
        <f>F68</f>
        <v>Infants</v>
      </c>
      <c r="G74" s="447">
        <f>IF(G68&gt;0,IF(E$75="New Castle",'Subsidy Rates'!D3,IF(E$75="Kent",'Subsidy Rates'!D11,IF(E$75="Sussex",'Subsidy Rates'!D19,))),0)</f>
        <v>625.73333333333335</v>
      </c>
      <c r="H74" s="491">
        <f>G74-H68</f>
        <v>-423.55247663541672</v>
      </c>
      <c r="I74" s="491"/>
      <c r="J74" s="105"/>
      <c r="K74" s="129"/>
      <c r="M74" s="98"/>
      <c r="N74" s="98" t="str">
        <f>H73</f>
        <v>Gap - subsidy and cost</v>
      </c>
      <c r="O74" s="98" t="str">
        <f>H79</f>
        <v>Gap - price and cost</v>
      </c>
      <c r="P74" s="98"/>
      <c r="Q74" s="98"/>
    </row>
    <row r="75" spans="1:17" ht="14" x14ac:dyDescent="0.15">
      <c r="A75" s="119"/>
      <c r="B75" s="410" t="s">
        <v>268</v>
      </c>
      <c r="C75" s="414">
        <f>QualityVarCost</f>
        <v>0</v>
      </c>
      <c r="D75" s="105"/>
      <c r="E75" s="461" t="s">
        <v>217</v>
      </c>
      <c r="F75" s="446" t="str">
        <f>F69</f>
        <v>Toddlers</v>
      </c>
      <c r="G75" s="447">
        <f>IF(G69&gt;0,IF(E$75="New Castle",'Subsidy Rates'!D4,IF(E$75="Kent",'Subsidy Rates'!D12,IF(E$75="Sussex",'Subsidy Rates'!D20,))),0)</f>
        <v>576.33333333333337</v>
      </c>
      <c r="H75" s="491">
        <f>G75-H69</f>
        <v>-472.9524766354167</v>
      </c>
      <c r="I75" s="491"/>
      <c r="J75" s="105"/>
      <c r="K75" s="129"/>
      <c r="M75" s="98" t="str">
        <f>F74</f>
        <v>Infants</v>
      </c>
      <c r="N75" s="449">
        <f>H74</f>
        <v>-423.55247663541672</v>
      </c>
      <c r="O75" s="449">
        <f>H80</f>
        <v>-155.53580996875007</v>
      </c>
      <c r="P75" s="98"/>
      <c r="Q75" s="98"/>
    </row>
    <row r="76" spans="1:17" ht="14" x14ac:dyDescent="0.15">
      <c r="A76" s="119"/>
      <c r="B76" s="410" t="s">
        <v>279</v>
      </c>
      <c r="C76" s="414">
        <f>'Quality Home Profile'!D54</f>
        <v>3363.7399999999993</v>
      </c>
      <c r="D76" s="105"/>
      <c r="E76" s="419"/>
      <c r="F76" s="446" t="str">
        <f>F70</f>
        <v>Preschoolers</v>
      </c>
      <c r="G76" s="447">
        <f>IF(G70&gt;0,IF(E$75="New Castle",'Subsidy Rates'!D5,IF(E$75="Kent",'Subsidy Rates'!D13,IF(E$75="Sussex",'Subsidy Rates'!D21,))),0)</f>
        <v>546</v>
      </c>
      <c r="H76" s="491">
        <f>G76-H70</f>
        <v>-503.28580996875007</v>
      </c>
      <c r="I76" s="491"/>
      <c r="J76" s="105"/>
      <c r="K76" s="129"/>
      <c r="M76" s="98" t="str">
        <f t="shared" ref="M76:M78" si="2">F75</f>
        <v>Toddlers</v>
      </c>
      <c r="N76" s="449">
        <f t="shared" ref="N76:N78" si="3">H75</f>
        <v>-472.9524766354167</v>
      </c>
      <c r="O76" s="449">
        <f t="shared" ref="O76:O78" si="4">H81</f>
        <v>-225.9524766354167</v>
      </c>
      <c r="P76" s="98"/>
      <c r="Q76" s="98"/>
    </row>
    <row r="77" spans="1:17" ht="15" thickBot="1" x14ac:dyDescent="0.2">
      <c r="A77" s="119"/>
      <c r="B77" s="410" t="s">
        <v>280</v>
      </c>
      <c r="C77" s="414">
        <f>'Quality Home Profile'!D55</f>
        <v>5457.85</v>
      </c>
      <c r="D77" s="105"/>
      <c r="E77" s="422"/>
      <c r="F77" s="423" t="str">
        <f>F71</f>
        <v>School age</v>
      </c>
      <c r="G77" s="424">
        <f>IF(G71&gt;0,IF(E$75="New Castle",'Subsidy Rates'!D6,IF(E$75="Kent",'Subsidy Rates'!D14,IF(E$75="Sussex",'Subsidy Rates'!D22,))),0)</f>
        <v>507</v>
      </c>
      <c r="H77" s="492">
        <f>G77-H71</f>
        <v>-75.936561093750015</v>
      </c>
      <c r="I77" s="492"/>
      <c r="J77" s="105"/>
      <c r="K77" s="129"/>
      <c r="M77" s="98" t="str">
        <f t="shared" si="2"/>
        <v>Preschoolers</v>
      </c>
      <c r="N77" s="449">
        <f t="shared" si="3"/>
        <v>-503.28580996875007</v>
      </c>
      <c r="O77" s="449">
        <f t="shared" si="4"/>
        <v>-269.28580996875007</v>
      </c>
      <c r="P77" s="98"/>
      <c r="Q77" s="98"/>
    </row>
    <row r="78" spans="1:17" ht="15" thickBot="1" x14ac:dyDescent="0.2">
      <c r="A78" s="119"/>
      <c r="B78" s="410" t="s">
        <v>13</v>
      </c>
      <c r="C78" s="414">
        <f>'Quality Home Profile'!D56</f>
        <v>3368.9352678571427</v>
      </c>
      <c r="D78" s="105"/>
      <c r="E78" s="105"/>
      <c r="F78" s="105"/>
      <c r="G78" s="105"/>
      <c r="H78" s="105"/>
      <c r="I78" s="105"/>
      <c r="J78" s="105"/>
      <c r="K78" s="129"/>
      <c r="M78" s="98" t="str">
        <f t="shared" si="2"/>
        <v>School age</v>
      </c>
      <c r="N78" s="449">
        <f t="shared" si="3"/>
        <v>-75.936561093750015</v>
      </c>
      <c r="O78" s="449">
        <f t="shared" si="4"/>
        <v>-149.6032277604167</v>
      </c>
      <c r="P78" s="98"/>
      <c r="Q78" s="98"/>
    </row>
    <row r="79" spans="1:17" ht="14" x14ac:dyDescent="0.15">
      <c r="A79" s="119"/>
      <c r="B79" s="410" t="s">
        <v>270</v>
      </c>
      <c r="C79" s="414">
        <f>Reserve_Fund</f>
        <v>3331.0660633928574</v>
      </c>
      <c r="D79" s="105"/>
      <c r="E79" s="483" t="s">
        <v>284</v>
      </c>
      <c r="F79" s="484"/>
      <c r="G79" s="425" t="s">
        <v>11</v>
      </c>
      <c r="H79" s="485" t="s">
        <v>281</v>
      </c>
      <c r="I79" s="486"/>
      <c r="J79" s="105"/>
      <c r="K79" s="129"/>
      <c r="M79" s="98"/>
      <c r="N79" s="98"/>
      <c r="O79" s="98"/>
      <c r="P79" s="98"/>
      <c r="Q79" s="98"/>
    </row>
    <row r="80" spans="1:17" ht="14" x14ac:dyDescent="0.15">
      <c r="A80" s="119"/>
      <c r="B80" s="412" t="s">
        <v>68</v>
      </c>
      <c r="C80" s="413">
        <f>SUM(C75:C79)</f>
        <v>15521.591331250002</v>
      </c>
      <c r="D80" s="105"/>
      <c r="E80" s="426" t="s">
        <v>269</v>
      </c>
      <c r="F80" s="444" t="str">
        <f>F74</f>
        <v>Infants</v>
      </c>
      <c r="G80" s="445">
        <f>IF(G68&gt;0,IF(E$81="New Castle",'Tuition Rates'!D3,IF(E$81="Kent",'Tuition Rates'!D11,IF(E$81="Sussex",'Tuition Rates'!D19,))),0)</f>
        <v>893.75</v>
      </c>
      <c r="H80" s="487">
        <f>G80-H68</f>
        <v>-155.53580996875007</v>
      </c>
      <c r="I80" s="488"/>
      <c r="J80" s="105"/>
      <c r="K80" s="129"/>
      <c r="M80" s="98"/>
      <c r="N80" s="98"/>
      <c r="O80" s="98"/>
      <c r="P80" s="98"/>
      <c r="Q80" s="98"/>
    </row>
    <row r="81" spans="1:17" ht="14" x14ac:dyDescent="0.15">
      <c r="A81" s="119"/>
      <c r="B81" s="420" t="s">
        <v>271</v>
      </c>
      <c r="C81" s="421">
        <f>SUM(C74,C80)</f>
        <v>69952.387331250007</v>
      </c>
      <c r="D81" s="105"/>
      <c r="E81" s="461" t="s">
        <v>217</v>
      </c>
      <c r="F81" s="444" t="str">
        <f>F75</f>
        <v>Toddlers</v>
      </c>
      <c r="G81" s="445">
        <f>IF(G69&gt;0,IF(E$81="New Castle",'Tuition Rates'!D4,IF(E$81="Kent",'Tuition Rates'!D12,IF(E$81="Sussex",'Tuition Rates'!D20,))),0)</f>
        <v>823.33333333333337</v>
      </c>
      <c r="H81" s="487">
        <f>G81-H69</f>
        <v>-225.9524766354167</v>
      </c>
      <c r="I81" s="488"/>
      <c r="J81" s="105"/>
      <c r="K81" s="129"/>
      <c r="M81" s="98"/>
      <c r="N81" s="98"/>
      <c r="O81" s="98"/>
      <c r="P81" s="98"/>
      <c r="Q81" s="98"/>
    </row>
    <row r="82" spans="1:17" ht="14" x14ac:dyDescent="0.15">
      <c r="A82" s="119"/>
      <c r="B82" s="405"/>
      <c r="C82" s="406"/>
      <c r="D82" s="105"/>
      <c r="E82" s="427"/>
      <c r="F82" s="444" t="str">
        <f>F76</f>
        <v>Preschoolers</v>
      </c>
      <c r="G82" s="445">
        <f>IF(G70&gt;0,IF(E$81="New Castle",'Tuition Rates'!D5,IF(E$81="Kent",'Tuition Rates'!D13,IF(E$81="Sussex",'Tuition Rates'!D21,))),0)</f>
        <v>780</v>
      </c>
      <c r="H82" s="487">
        <f>G82-H70</f>
        <v>-269.28580996875007</v>
      </c>
      <c r="I82" s="488"/>
      <c r="J82" s="105"/>
      <c r="K82" s="129"/>
      <c r="M82" s="98"/>
      <c r="N82" s="98"/>
      <c r="O82" s="98"/>
      <c r="P82" s="98"/>
      <c r="Q82" s="98"/>
    </row>
    <row r="83" spans="1:17" ht="15" customHeight="1" thickBot="1" x14ac:dyDescent="0.2">
      <c r="A83" s="119"/>
      <c r="B83" s="409" t="s">
        <v>272</v>
      </c>
      <c r="C83" s="406"/>
      <c r="D83" s="105"/>
      <c r="E83" s="430"/>
      <c r="F83" s="431" t="str">
        <f>F77</f>
        <v>School age</v>
      </c>
      <c r="G83" s="432">
        <f>IF(G71&gt;0,IF(E$81="New Castle",'Tuition Rates'!D6,IF(E$81="Kent",'Tuition Rates'!D14,IF(E$81="Sussex",'Tuition Rates'!D22,))),0)</f>
        <v>433.33333333333331</v>
      </c>
      <c r="H83" s="497">
        <f>G83-H71</f>
        <v>-149.6032277604167</v>
      </c>
      <c r="I83" s="498"/>
      <c r="J83" s="105"/>
      <c r="K83" s="129"/>
    </row>
    <row r="84" spans="1:17" ht="14" x14ac:dyDescent="0.15">
      <c r="A84" s="105"/>
      <c r="B84" s="405" t="s">
        <v>273</v>
      </c>
      <c r="C84" s="411">
        <f>'Quality Home Profile'!D67</f>
        <v>6325.7999999999993</v>
      </c>
      <c r="D84" s="105"/>
      <c r="E84" s="105"/>
      <c r="F84" s="105"/>
      <c r="G84" s="105"/>
      <c r="H84" s="105"/>
      <c r="I84" s="105"/>
      <c r="J84" s="105"/>
      <c r="K84" s="129"/>
    </row>
    <row r="85" spans="1:17" ht="14" customHeight="1" x14ac:dyDescent="0.15">
      <c r="A85" s="119"/>
      <c r="B85" s="405" t="s">
        <v>274</v>
      </c>
      <c r="C85" s="411">
        <f>SUM('Quality Home Profile'!D72:D79)</f>
        <v>27424.800000000003</v>
      </c>
      <c r="D85" s="105"/>
      <c r="E85" s="105"/>
      <c r="F85" s="105"/>
      <c r="G85" s="105"/>
      <c r="H85" s="105"/>
      <c r="I85" s="105"/>
      <c r="J85" s="105"/>
      <c r="K85" s="129"/>
    </row>
    <row r="86" spans="1:17" ht="14" x14ac:dyDescent="0.15">
      <c r="A86" s="119"/>
      <c r="B86" s="405" t="s">
        <v>275</v>
      </c>
      <c r="C86" s="411">
        <f>SUM('Quality Home Profile'!D68:D71)</f>
        <v>19240</v>
      </c>
      <c r="D86" s="105"/>
      <c r="E86" s="105"/>
      <c r="F86" s="105"/>
      <c r="G86" s="105"/>
      <c r="H86" s="105"/>
      <c r="I86" s="105"/>
      <c r="J86" s="105"/>
      <c r="K86" s="129"/>
    </row>
    <row r="87" spans="1:17" ht="14" x14ac:dyDescent="0.15">
      <c r="A87" s="119"/>
      <c r="B87" s="405" t="s">
        <v>276</v>
      </c>
      <c r="C87" s="411">
        <f>'Quality Home Profile'!D80</f>
        <v>500</v>
      </c>
      <c r="D87" s="105"/>
      <c r="E87" s="105"/>
      <c r="F87" s="105"/>
      <c r="G87" s="105"/>
      <c r="H87" s="105"/>
      <c r="I87" s="105"/>
      <c r="J87" s="105"/>
      <c r="K87" s="129"/>
    </row>
    <row r="88" spans="1:17" ht="14" x14ac:dyDescent="0.15">
      <c r="A88" s="119"/>
      <c r="B88" s="412" t="s">
        <v>277</v>
      </c>
      <c r="C88" s="428">
        <f>SUM(C84:C87)</f>
        <v>53490.600000000006</v>
      </c>
      <c r="D88" s="105"/>
      <c r="E88" s="105"/>
      <c r="F88" s="105"/>
      <c r="G88" s="105"/>
      <c r="H88" s="105"/>
      <c r="I88" s="105"/>
      <c r="J88" s="105"/>
      <c r="K88" s="129"/>
    </row>
    <row r="89" spans="1:17" ht="17" customHeight="1" x14ac:dyDescent="0.15">
      <c r="A89" s="119"/>
      <c r="B89" s="499" t="s">
        <v>285</v>
      </c>
      <c r="C89" s="429"/>
      <c r="D89" s="105"/>
      <c r="E89" s="105"/>
      <c r="F89" s="105"/>
      <c r="G89" s="105"/>
      <c r="H89" s="105"/>
      <c r="I89" s="105"/>
      <c r="J89" s="105"/>
      <c r="K89" s="129"/>
    </row>
    <row r="90" spans="1:17" ht="16" customHeight="1" x14ac:dyDescent="0.15">
      <c r="A90" s="119"/>
      <c r="B90" s="500"/>
      <c r="C90" s="433">
        <f>SUM('Quality Home Profile'!D84:D85)</f>
        <v>9299.8503000000019</v>
      </c>
      <c r="D90" s="105"/>
      <c r="E90" s="105"/>
      <c r="F90" s="105"/>
      <c r="G90" s="105"/>
      <c r="H90" s="105"/>
      <c r="I90" s="105"/>
      <c r="J90" s="105"/>
      <c r="K90" s="129"/>
    </row>
    <row r="91" spans="1:17" ht="19" customHeight="1" x14ac:dyDescent="0.15">
      <c r="A91" s="119"/>
      <c r="B91" s="405"/>
      <c r="C91" s="406"/>
      <c r="D91" s="105"/>
      <c r="E91" s="105"/>
      <c r="F91" s="105"/>
      <c r="G91" s="105"/>
      <c r="H91" s="105"/>
      <c r="I91" s="105"/>
      <c r="J91" s="105"/>
      <c r="K91" s="129"/>
    </row>
    <row r="92" spans="1:17" ht="13" customHeight="1" x14ac:dyDescent="0.15">
      <c r="A92" s="105"/>
      <c r="B92" s="493" t="str">
        <f>'Quality Home Profile'!B87</f>
        <v>Annual Revenue less Expenses profit/(loss)</v>
      </c>
      <c r="C92" s="495">
        <f>'Quality Home Profile'!D87</f>
        <v>-25761.637631250007</v>
      </c>
      <c r="D92" s="105"/>
      <c r="E92" s="105"/>
      <c r="F92" s="105"/>
      <c r="G92" s="105"/>
      <c r="H92" s="105"/>
      <c r="I92" s="105"/>
      <c r="J92" s="105"/>
      <c r="K92" s="129"/>
    </row>
    <row r="93" spans="1:17" ht="19" customHeight="1" x14ac:dyDescent="0.15">
      <c r="A93" s="105"/>
      <c r="B93" s="494"/>
      <c r="C93" s="496"/>
      <c r="D93" s="105"/>
      <c r="E93" s="105"/>
      <c r="F93" s="105"/>
      <c r="G93" s="105"/>
      <c r="H93" s="105"/>
      <c r="I93" s="105"/>
      <c r="J93" s="105"/>
      <c r="K93" s="129"/>
    </row>
    <row r="94" spans="1:17" ht="15" customHeight="1" thickBot="1" x14ac:dyDescent="0.2">
      <c r="A94" s="105"/>
      <c r="B94" s="435" t="s">
        <v>278</v>
      </c>
      <c r="C94" s="436">
        <f>'Quality Home Profile'!E87</f>
        <v>-0.36827388762672641</v>
      </c>
      <c r="D94" s="434"/>
      <c r="E94" s="105"/>
      <c r="F94" s="105"/>
      <c r="G94" s="105"/>
      <c r="H94" s="105"/>
      <c r="I94" s="105"/>
      <c r="J94" s="105"/>
      <c r="K94" s="129"/>
    </row>
    <row r="95" spans="1:17" x14ac:dyDescent="0.15">
      <c r="A95" s="105"/>
      <c r="B95" s="105"/>
      <c r="C95" s="105"/>
      <c r="D95" s="434"/>
      <c r="E95" s="105"/>
      <c r="F95" s="105"/>
      <c r="G95" s="105"/>
      <c r="H95" s="105"/>
      <c r="I95" s="105"/>
      <c r="J95" s="105"/>
      <c r="K95" s="129"/>
    </row>
    <row r="96" spans="1:17" ht="27" customHeight="1" x14ac:dyDescent="0.15">
      <c r="A96" s="105"/>
      <c r="B96" s="105"/>
      <c r="C96" s="105"/>
      <c r="D96" s="105"/>
      <c r="E96" s="105"/>
      <c r="F96" s="105"/>
      <c r="G96" s="105"/>
      <c r="H96" s="105"/>
      <c r="I96" s="105"/>
      <c r="J96" s="105"/>
      <c r="K96" s="129"/>
    </row>
    <row r="97" spans="1:11" x14ac:dyDescent="0.15">
      <c r="A97" s="121"/>
      <c r="B97" s="130" t="s">
        <v>286</v>
      </c>
      <c r="C97" s="121"/>
      <c r="D97" s="121"/>
      <c r="E97" s="121"/>
      <c r="F97" s="121"/>
      <c r="G97" s="121"/>
      <c r="H97" s="121"/>
      <c r="I97" s="121"/>
      <c r="J97" s="121"/>
      <c r="K97" s="129"/>
    </row>
    <row r="98" spans="1:11" ht="14" thickBot="1" x14ac:dyDescent="0.2">
      <c r="A98" s="137"/>
      <c r="B98" s="437"/>
      <c r="C98" s="137"/>
      <c r="D98" s="137"/>
      <c r="E98" s="137"/>
      <c r="F98" s="137"/>
      <c r="G98" s="137"/>
      <c r="H98" s="137"/>
      <c r="I98" s="137"/>
      <c r="J98" s="137"/>
      <c r="K98" s="146"/>
    </row>
  </sheetData>
  <sheetProtection algorithmName="SHA-512" hashValue="cHA4N/cynpA/0B7xuse1DWB/mbMAkWCkZUcAXc4wk4IXCDYLXHtQC7yKNSfI1ayE3aXs9BgIpWNDjynePF1Pog==" saltValue="Jd47ci4MbhC7xWm3AX7/9g==" spinCount="100000" sheet="1" objects="1" scenarios="1" selectLockedCells="1"/>
  <mergeCells count="32">
    <mergeCell ref="B92:B93"/>
    <mergeCell ref="C92:C93"/>
    <mergeCell ref="H81:I81"/>
    <mergeCell ref="H82:I82"/>
    <mergeCell ref="H83:I83"/>
    <mergeCell ref="B89:B90"/>
    <mergeCell ref="E79:F79"/>
    <mergeCell ref="H79:I79"/>
    <mergeCell ref="H80:I80"/>
    <mergeCell ref="H73:I73"/>
    <mergeCell ref="H74:I74"/>
    <mergeCell ref="H75:I75"/>
    <mergeCell ref="H76:I76"/>
    <mergeCell ref="H77:I77"/>
    <mergeCell ref="D28:G29"/>
    <mergeCell ref="F13:K14"/>
    <mergeCell ref="F10:K12"/>
    <mergeCell ref="B32:C32"/>
    <mergeCell ref="B31:C31"/>
    <mergeCell ref="F15:K15"/>
    <mergeCell ref="D32:E32"/>
    <mergeCell ref="D31:E31"/>
    <mergeCell ref="B37:C37"/>
    <mergeCell ref="E44:J44"/>
    <mergeCell ref="D33:E33"/>
    <mergeCell ref="D36:E36"/>
    <mergeCell ref="D34:E34"/>
    <mergeCell ref="D37:E37"/>
    <mergeCell ref="D35:E35"/>
    <mergeCell ref="B38:C38"/>
    <mergeCell ref="D38:E38"/>
    <mergeCell ref="B35:C35"/>
  </mergeCells>
  <phoneticPr fontId="8" type="noConversion"/>
  <conditionalFormatting sqref="C92 C94">
    <cfRule type="cellIs" dxfId="1" priority="1" operator="lessThan">
      <formula>0</formula>
    </cfRule>
  </conditionalFormatting>
  <dataValidations count="12">
    <dataValidation type="list" allowBlank="1" showInputMessage="1" showErrorMessage="1" sqref="D44" xr:uid="{C2CF9409-A270-DB47-8547-2D1B6985602C}">
      <formula1>$I$42:$J$42</formula1>
    </dataValidation>
    <dataValidation type="whole" allowBlank="1" showInputMessage="1" showErrorMessage="1" errorTitle="Enter a whole number" promptTitle="Enter number of days" prompt="Enter number of days of paid sick leave per year per staff member_x000a_" sqref="D45" xr:uid="{18AE733C-7F46-9946-ACAB-7914FD730588}">
      <formula1>0</formula1>
      <formula2>100</formula2>
    </dataValidation>
    <dataValidation type="list" allowBlank="1" showInputMessage="1" showErrorMessage="1" sqref="C7" xr:uid="{97FA57B7-3921-9B41-B7C4-4A58A64673A1}">
      <formula1>$E$7:$G$7</formula1>
    </dataValidation>
    <dataValidation type="list" allowBlank="1" showInputMessage="1" showErrorMessage="1" sqref="C28" xr:uid="{7B0980EA-FE60-944F-B9FF-460FE27F8A1E}">
      <formula1>$L$28:$M$28</formula1>
    </dataValidation>
    <dataValidation type="list" allowBlank="1" showInputMessage="1" showErrorMessage="1" sqref="D32" xr:uid="{9346FD78-A1A1-814A-B4F2-BAB417AEC142}">
      <formula1>$L$32:$O$32</formula1>
    </dataValidation>
    <dataValidation type="list" allowBlank="1" showInputMessage="1" showErrorMessage="1" sqref="D33" xr:uid="{AB83205E-A133-934C-88E8-83FA1F30A78F}">
      <formula1>$L$33:$O$33</formula1>
    </dataValidation>
    <dataValidation type="list" allowBlank="1" showInputMessage="1" showErrorMessage="1" sqref="D34" xr:uid="{F91958FE-F3B5-7C4E-AD39-C1F138A090F9}">
      <formula1>$L$34:$N$34</formula1>
    </dataValidation>
    <dataValidation type="list" allowBlank="1" showInputMessage="1" showErrorMessage="1" sqref="D36" xr:uid="{FDC428F3-9908-154F-8B59-B9CB57C19618}">
      <formula1>$L$36:$N$36</formula1>
    </dataValidation>
    <dataValidation type="list" allowBlank="1" showInputMessage="1" showErrorMessage="1" sqref="D37" xr:uid="{AA2A8F7C-6F4B-2946-B927-18055C7EB4DE}">
      <formula1>$L$37:$M$37</formula1>
    </dataValidation>
    <dataValidation type="list" allowBlank="1" showInputMessage="1" showErrorMessage="1" sqref="D35:E35" xr:uid="{305BDCD0-2970-9142-8FA4-224DCFC65232}">
      <formula1>$L$35:$O$35</formula1>
    </dataValidation>
    <dataValidation allowBlank="1" showInputMessage="1" showErrorMessage="1" promptTitle="Enter number of days " prompt="Enter number of days paid leave offered to staff per year (not including holidays where program is closed)" sqref="D46" xr:uid="{38DE5AB1-75D8-9E49-87E4-584A9244F140}"/>
    <dataValidation type="list" allowBlank="1" showInputMessage="1" showErrorMessage="1" sqref="E81 E75" xr:uid="{CA4B5FB9-1967-D842-B9CA-EA5217939586}">
      <formula1>$L$71:$N$71</formula1>
    </dataValidation>
  </dataValidations>
  <pageMargins left="0.25" right="0.25" top="0.25" bottom="0.25" header="0.05" footer="0.05"/>
  <pageSetup scale="75" orientation="landscape" horizontalDpi="4294967293" r:id="rId1"/>
  <headerFooter alignWithMargins="0">
    <oddFooter>&amp;CDRAFT - Not for Distribution</oddFooter>
  </headerFooter>
  <ignoredErrors>
    <ignoredError sqref="A1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sheetPr>
  <dimension ref="A1:T87"/>
  <sheetViews>
    <sheetView workbookViewId="0"/>
  </sheetViews>
  <sheetFormatPr baseColWidth="10" defaultColWidth="8.83203125" defaultRowHeight="13" x14ac:dyDescent="0.15"/>
  <cols>
    <col min="1" max="1" width="7.5" style="15" customWidth="1"/>
    <col min="2" max="2" width="44.5" style="15" customWidth="1"/>
    <col min="3" max="3" width="12.33203125" style="15" customWidth="1"/>
    <col min="4" max="4" width="12.6640625" style="15" customWidth="1"/>
    <col min="5" max="5" width="16.5" style="15" customWidth="1"/>
    <col min="6" max="6" width="12" style="15" customWidth="1"/>
    <col min="7" max="7" width="14.33203125" style="15" customWidth="1"/>
    <col min="8" max="8" width="13.1640625" style="15" customWidth="1"/>
    <col min="9" max="9" width="14.83203125" style="15" customWidth="1"/>
    <col min="10" max="10" width="18" style="15" customWidth="1"/>
    <col min="11" max="12" width="10.5" style="15" customWidth="1"/>
    <col min="13" max="13" width="10" style="15" customWidth="1"/>
    <col min="14" max="14" width="9.5" style="15" customWidth="1"/>
    <col min="15" max="15" width="12.83203125" style="15" customWidth="1"/>
    <col min="16" max="16" width="13.1640625" style="15" customWidth="1"/>
    <col min="17" max="17" width="8.1640625" style="15" customWidth="1"/>
    <col min="18" max="18" width="5.5" style="15" customWidth="1"/>
    <col min="19" max="19" width="11.5" style="15" customWidth="1"/>
    <col min="20" max="16384" width="8.83203125" style="15"/>
  </cols>
  <sheetData>
    <row r="1" spans="1:20" ht="16.5" customHeight="1" x14ac:dyDescent="0.15">
      <c r="A1" s="1" t="s">
        <v>205</v>
      </c>
      <c r="B1" s="212"/>
      <c r="C1" s="1"/>
      <c r="D1" s="1"/>
      <c r="E1" s="1"/>
      <c r="F1" s="1"/>
      <c r="G1" s="1"/>
    </row>
    <row r="2" spans="1:20" x14ac:dyDescent="0.15">
      <c r="A2" s="2"/>
      <c r="B2" s="2" t="s">
        <v>2</v>
      </c>
      <c r="E2" s="213"/>
      <c r="F2" s="15" t="s">
        <v>23</v>
      </c>
    </row>
    <row r="3" spans="1:20" x14ac:dyDescent="0.15">
      <c r="A3" s="2"/>
      <c r="B3" s="2" t="s">
        <v>7</v>
      </c>
      <c r="E3" s="214"/>
      <c r="F3" s="15" t="s">
        <v>22</v>
      </c>
    </row>
    <row r="4" spans="1:20" x14ac:dyDescent="0.15">
      <c r="A4" s="12" t="s">
        <v>181</v>
      </c>
      <c r="B4" s="215"/>
      <c r="C4" s="215"/>
      <c r="D4" s="215"/>
      <c r="E4" s="215"/>
      <c r="F4" s="215"/>
      <c r="G4" s="215"/>
      <c r="H4" s="216"/>
      <c r="I4" s="216"/>
    </row>
    <row r="5" spans="1:20" x14ac:dyDescent="0.15">
      <c r="K5" s="101"/>
      <c r="L5" s="101"/>
      <c r="M5" s="101"/>
      <c r="N5" s="101"/>
      <c r="O5" s="101"/>
      <c r="P5" s="2"/>
    </row>
    <row r="6" spans="1:20" ht="25.5" customHeight="1" x14ac:dyDescent="0.15">
      <c r="B6" s="1" t="s">
        <v>4</v>
      </c>
      <c r="C6" s="59" t="s">
        <v>10</v>
      </c>
      <c r="D6" s="1" t="s">
        <v>11</v>
      </c>
      <c r="E6" s="1" t="s">
        <v>152</v>
      </c>
      <c r="G6" s="305" t="s">
        <v>173</v>
      </c>
      <c r="H6" s="306" t="s">
        <v>174</v>
      </c>
      <c r="I6" s="307"/>
      <c r="J6" s="308"/>
      <c r="K6" s="193"/>
      <c r="L6" s="193"/>
      <c r="M6" s="193"/>
      <c r="N6" s="193"/>
      <c r="O6" s="193"/>
      <c r="P6" s="193"/>
    </row>
    <row r="7" spans="1:20" ht="14" customHeight="1" x14ac:dyDescent="0.15">
      <c r="A7" s="15">
        <f>'VariablesINPUT-FCC'!B11</f>
        <v>1</v>
      </c>
      <c r="B7" s="15" t="str">
        <f>'VariablesINPUT-FCC'!C11</f>
        <v>Infants</v>
      </c>
      <c r="C7" s="217">
        <f>H7</f>
        <v>12591.429719625001</v>
      </c>
      <c r="D7" s="217">
        <f>C7/12</f>
        <v>1049.2858099687501</v>
      </c>
      <c r="E7" s="239">
        <f>C7*A7</f>
        <v>12591.429719625001</v>
      </c>
      <c r="F7" s="380"/>
      <c r="G7" s="309">
        <f>IF(Infants&gt;0,$D$61/A$11,0)</f>
        <v>11658.731221875001</v>
      </c>
      <c r="H7" s="310">
        <f>IF(A7&gt;0,SUM(G7,I10),0)</f>
        <v>12591.429719625001</v>
      </c>
      <c r="I7" s="307"/>
      <c r="J7" s="308"/>
      <c r="K7" s="186"/>
      <c r="L7" s="186"/>
      <c r="M7" s="187"/>
      <c r="N7" s="187"/>
      <c r="O7" s="191"/>
      <c r="P7" s="188"/>
      <c r="Q7" s="188"/>
      <c r="R7" s="16"/>
    </row>
    <row r="8" spans="1:20" ht="14" customHeight="1" x14ac:dyDescent="0.2">
      <c r="A8" s="15">
        <f>'VariablesINPUT-FCC'!B12</f>
        <v>2</v>
      </c>
      <c r="B8" s="15" t="str">
        <f>'VariablesINPUT-FCC'!C12</f>
        <v>Toddlers</v>
      </c>
      <c r="C8" s="217">
        <f>H8</f>
        <v>12591.429719625001</v>
      </c>
      <c r="D8" s="217">
        <f>C8/12</f>
        <v>1049.2858099687501</v>
      </c>
      <c r="E8" s="239">
        <f>C8*A8</f>
        <v>25182.859439250002</v>
      </c>
      <c r="F8" s="380"/>
      <c r="G8" s="309">
        <f>IF(Toddlers&gt;0,$D$61/A$11,0)</f>
        <v>11658.731221875001</v>
      </c>
      <c r="H8" s="310">
        <f>IF(A8&gt;0,SUM(G8,I10),0)</f>
        <v>12591.429719625001</v>
      </c>
      <c r="I8" s="307"/>
      <c r="J8" s="311"/>
      <c r="K8" s="186"/>
      <c r="L8" s="186"/>
      <c r="M8" s="187"/>
      <c r="N8" s="187"/>
      <c r="O8" s="191"/>
      <c r="P8" s="188"/>
      <c r="Q8" s="189"/>
      <c r="R8" s="16"/>
    </row>
    <row r="9" spans="1:20" ht="14" customHeight="1" x14ac:dyDescent="0.2">
      <c r="A9" s="15">
        <f>'VariablesINPUT-FCC'!B13</f>
        <v>2</v>
      </c>
      <c r="B9" s="15" t="str">
        <f>'VariablesINPUT-FCC'!C13</f>
        <v>Preschoolers</v>
      </c>
      <c r="C9" s="217">
        <f t="shared" ref="C9" si="0">H9</f>
        <v>12591.429719625001</v>
      </c>
      <c r="D9" s="217">
        <f>C9/12</f>
        <v>1049.2858099687501</v>
      </c>
      <c r="E9" s="239">
        <f t="shared" ref="E9" si="1">C9*A9</f>
        <v>25182.859439250002</v>
      </c>
      <c r="F9" s="380"/>
      <c r="G9" s="309">
        <f>IF(Preschoolers&gt;0,$D$61/A$11,0)</f>
        <v>11658.731221875001</v>
      </c>
      <c r="H9" s="310">
        <f>IF(A9&gt;0,SUM(G9,I10),0)</f>
        <v>12591.429719625001</v>
      </c>
      <c r="I9" s="378">
        <f>G10*0.6</f>
        <v>6995.2387331250002</v>
      </c>
      <c r="J9" s="379">
        <f>G10*0.4</f>
        <v>4663.492488750001</v>
      </c>
      <c r="K9" s="186">
        <f>J9/4</f>
        <v>1165.8731221875003</v>
      </c>
      <c r="L9" s="187"/>
      <c r="M9" s="187"/>
      <c r="N9" s="187"/>
      <c r="O9" s="191"/>
      <c r="P9" s="188"/>
      <c r="Q9" s="189"/>
      <c r="R9" s="16"/>
    </row>
    <row r="10" spans="1:20" ht="14" customHeight="1" x14ac:dyDescent="0.15">
      <c r="A10" s="15">
        <f>'VariablesINPUT-FCC'!B14</f>
        <v>1</v>
      </c>
      <c r="B10" s="15" t="str">
        <f>'VariablesINPUT-FCC'!C14</f>
        <v>School age</v>
      </c>
      <c r="C10" s="217">
        <f>H10</f>
        <v>6995.2387331250002</v>
      </c>
      <c r="D10" s="217">
        <f>C10/12</f>
        <v>582.93656109375002</v>
      </c>
      <c r="E10" s="239">
        <f>IF(Schoolagers&gt;0,(C10*A10)," ")</f>
        <v>6995.2387331250002</v>
      </c>
      <c r="F10" s="380"/>
      <c r="G10" s="312">
        <f>IF(Schoolagers&gt;0,($D$61-D57)/A$11,0)</f>
        <v>11658.731221875001</v>
      </c>
      <c r="H10" s="313">
        <f>IF(Schoolagers&gt;0,SUM(G10*60%,D57/Schoolagers),0)</f>
        <v>6995.2387331250002</v>
      </c>
      <c r="I10" s="362">
        <f>SUM(I11*Schoolagers)/SUM(A7:A9)</f>
        <v>932.69849775000023</v>
      </c>
      <c r="J10" s="314">
        <f>SUM(G10-I10)*(SUM(A7:A9))</f>
        <v>53630.163620625011</v>
      </c>
      <c r="K10" s="186"/>
      <c r="L10" s="186"/>
      <c r="M10" s="186"/>
      <c r="N10" s="186"/>
      <c r="O10" s="192"/>
      <c r="P10" s="188"/>
      <c r="Q10" s="189"/>
      <c r="R10" s="16"/>
    </row>
    <row r="11" spans="1:20" ht="14" customHeight="1" x14ac:dyDescent="0.15">
      <c r="A11" s="32">
        <f>SUM(A7:A10)</f>
        <v>6</v>
      </c>
      <c r="B11" s="54"/>
      <c r="C11" s="54"/>
      <c r="D11" s="54"/>
      <c r="E11" s="304">
        <f>SUM(E7:E10)</f>
        <v>69952.387331250007</v>
      </c>
      <c r="I11" s="362">
        <f>G10-C10</f>
        <v>4663.492488750001</v>
      </c>
      <c r="J11" s="185"/>
      <c r="K11" s="194"/>
      <c r="L11" s="194"/>
      <c r="M11" s="194"/>
      <c r="N11" s="232"/>
      <c r="O11" s="194"/>
      <c r="P11" s="188"/>
      <c r="Q11" s="189"/>
      <c r="R11" s="16"/>
    </row>
    <row r="12" spans="1:20" ht="26" customHeight="1" x14ac:dyDescent="0.15">
      <c r="C12" s="15" t="s">
        <v>187</v>
      </c>
      <c r="D12" s="332">
        <v>0</v>
      </c>
      <c r="E12" s="501"/>
      <c r="F12" s="501"/>
      <c r="G12" s="501"/>
      <c r="H12" s="501"/>
      <c r="I12" s="501"/>
      <c r="J12" s="53"/>
      <c r="K12" s="230"/>
      <c r="L12" s="230"/>
      <c r="M12" s="231"/>
      <c r="N12" s="231"/>
      <c r="O12" s="190"/>
      <c r="P12" s="188"/>
      <c r="Q12" s="189"/>
      <c r="R12" s="16"/>
    </row>
    <row r="13" spans="1:20" s="240" customFormat="1" ht="17" x14ac:dyDescent="0.2">
      <c r="B13" s="241" t="s">
        <v>154</v>
      </c>
      <c r="C13" s="242"/>
      <c r="F13" s="243"/>
      <c r="K13" s="244"/>
      <c r="L13" s="244"/>
      <c r="M13" s="244"/>
      <c r="P13" s="245"/>
      <c r="Q13" s="245"/>
      <c r="R13" s="246"/>
      <c r="S13" s="247"/>
      <c r="T13" s="245"/>
    </row>
    <row r="14" spans="1:20" s="240" customFormat="1" ht="18" thickBot="1" x14ac:dyDescent="0.25">
      <c r="B14" s="248" t="s">
        <v>155</v>
      </c>
      <c r="C14" s="249"/>
      <c r="D14" s="250"/>
      <c r="E14" s="250"/>
      <c r="F14" s="250"/>
      <c r="G14" s="249"/>
      <c r="K14" s="244"/>
      <c r="L14" s="244"/>
      <c r="M14" s="244"/>
      <c r="P14" s="245"/>
      <c r="R14" s="246"/>
      <c r="S14" s="247"/>
      <c r="T14" s="245"/>
    </row>
    <row r="15" spans="1:20" s="240" customFormat="1" ht="16" x14ac:dyDescent="0.2">
      <c r="B15" s="251"/>
      <c r="C15" s="240" t="s">
        <v>94</v>
      </c>
      <c r="D15" s="253" t="s">
        <v>156</v>
      </c>
      <c r="K15" s="244"/>
      <c r="L15" s="244"/>
      <c r="M15" s="244"/>
      <c r="P15" s="245"/>
      <c r="R15" s="246"/>
      <c r="S15" s="247"/>
      <c r="T15" s="245"/>
    </row>
    <row r="16" spans="1:20" s="240" customFormat="1" ht="14" x14ac:dyDescent="0.15">
      <c r="A16" s="254">
        <v>1</v>
      </c>
      <c r="B16" s="255" t="s">
        <v>153</v>
      </c>
      <c r="C16" s="256">
        <f>IF('VariablesINPUT-FCC'!C28="Yes",'VariablesINPUT-FCC'!J30,
IF(OR('VariablesINPUT-FCC'!D11="Licensing",'VariablesINPUT-FCC'!D12="Licensing",'VariablesINPUT-FCC'!D13="Licensing",'VariablesINPUT-FCC'!D14="Licensing"),Wages!B10,
IF(OR('VariablesINPUT-FCC'!D11="Point 2",'VariablesINPUT-FCC'!D12="Point 2",'VariablesINPUT-FCC'!D13="Point 2",'VariablesINPUT-FCC'!D14="Point 2"),Wages!B21,
IF(OR('VariablesINPUT-FCC'!D11="Point 3",'VariablesINPUT-FCC'!D12="Point 3",'VariablesINPUT-FCC'!D13="Point 3",'VariablesINPUT-FCC'!D14="Point 3"),Wages!B31,
IF(OR('VariablesINPUT-FCC'!D11="Point 4",'VariablesINPUT-FCC'!D12="Point 4",'VariablesINPUT-FCC'!D13="Point 4",'VariablesINPUT-FCC'!D14="Point 4"),Wages!B41,
IF(OR('VariablesINPUT-FCC'!D11="Aspirational",'VariablesINPUT-FCC'!D12="Aspirational",'VariablesINPUT-FCC'!D13="Aspirational",'VariablesINPUT-FCC'!D14="Aspirational"),Wages!B51,Wages!B10))))))</f>
        <v>35880</v>
      </c>
      <c r="D16" s="374">
        <f>C16*A16</f>
        <v>35880</v>
      </c>
      <c r="E16" s="257"/>
      <c r="F16" s="258"/>
      <c r="K16" s="244"/>
      <c r="L16" s="244"/>
      <c r="M16" s="244"/>
      <c r="R16" s="246"/>
      <c r="S16" s="247"/>
      <c r="T16" s="245"/>
    </row>
    <row r="17" spans="1:20" s="240" customFormat="1" ht="15" x14ac:dyDescent="0.2">
      <c r="A17" s="259">
        <f>IF(A7&gt;2,1,0)</f>
        <v>0</v>
      </c>
      <c r="B17" s="255" t="s">
        <v>175</v>
      </c>
      <c r="C17" s="256">
        <f>IF('VariablesINPUT-FCC'!C28="Yes",'VariablesINPUT-FCC'!J31,
IF(OR('VariablesINPUT-FCC'!D11="Licensing",'VariablesINPUT-FCC'!D12="Licensing",'VariablesINPUT-FCC'!D13="Point 2",'VariablesINPUT-FCC'!D14="Licensing"),Wages!C10,
IF(OR('VariablesINPUT-FCC'!D11="Point 2",'VariablesINPUT-FCC'!D12="Point 2",'VariablesINPUT-FCC'!D13="Point 2",'VariablesINPUT-FCC'!D14="Point 2"),Wages!C21,
IF(OR('VariablesINPUT-FCC'!D11="Point 3",'VariablesINPUT-FCC'!D12="Point 3",'VariablesINPUT-FCC'!D13="Point 3",'VariablesINPUT-FCC'!D14="Point 3"),Wages!C31,
IF(OR('VariablesINPUT-FCC'!D11="Point 4",'VariablesINPUT-FCC'!D12="Point 4",'VariablesINPUT-FCC'!D13="Point 4",'VariablesINPUT-FCC'!D14="Point 4"),Wages!B31,
IF(OR('VariablesINPUT-FCC'!D11="Aspirational",'VariablesINPUT-FCC'!D12="Aspirational",'VariablesINPUT-FCC'!D13="Aspirational",'VariablesINPUT-FCC'!D14="Aspirational"),Wages!C41,Wages!C10))))))</f>
        <v>35880</v>
      </c>
      <c r="D17" s="374">
        <f>C17*A17</f>
        <v>0</v>
      </c>
      <c r="E17" s="257"/>
      <c r="F17" s="258"/>
      <c r="H17" s="260"/>
      <c r="I17" s="261"/>
      <c r="J17" s="260"/>
      <c r="K17" s="260"/>
      <c r="L17" s="260"/>
      <c r="M17" s="260"/>
      <c r="R17" s="246"/>
      <c r="S17" s="247"/>
      <c r="T17" s="245"/>
    </row>
    <row r="18" spans="1:20" s="240" customFormat="1" ht="15" x14ac:dyDescent="0.2">
      <c r="A18" s="259">
        <f>IF(A17=0,IF('VariablesINPUT-FCC'!C7="Large Home",1,0),0)</f>
        <v>0</v>
      </c>
      <c r="B18" s="255" t="s">
        <v>177</v>
      </c>
      <c r="C18" s="256">
        <f>IF('VariablesINPUT-FCC'!C28="Yes",'VariablesINPUT-FCC'!J32,
IF(OR('VariablesINPUT-FCC'!D11="Licensing",'VariablesINPUT-FCC'!D12="Licensing",'VariablesINPUT-FCC'!D13="Point 2",'VariablesINPUT-FCC'!D14="Licensing"),Wages!D10,
IF(OR('VariablesINPUT-FCC'!D11="Point 2",'VariablesINPUT-FCC'!D12="Point 2",'VariablesINPUT-FCC'!D13="Point 2",'VariablesINPUT-FCC'!D14="Point 2"),Wages!D21,
IF(OR('VariablesINPUT-FCC'!D11="Point 3",'VariablesINPUT-FCC'!D12="Point 3",'VariablesINPUT-FCC'!D13="Point 3",'VariablesINPUT-FCC'!D14="Point 3"),Wages!D31,
IF(OR('VariablesINPUT-FCC'!D11="Point 4",'VariablesINPUT-FCC'!D12="Point 4",'VariablesINPUT-FCC'!D13="Point 4",'VariablesINPUT-FCC'!D14="Point 4"),Wages!B31,
IF(OR('VariablesINPUT-FCC'!D11="Aspirational",'VariablesINPUT-FCC'!D12="Aspirational",'VariablesINPUT-FCC'!D13="Aspirational",'VariablesINPUT-FCC'!D14="Aspirational"),Wages!D41,Wages!D10))))))</f>
        <v>24960</v>
      </c>
      <c r="D18" s="374">
        <f>C18*A18</f>
        <v>0</v>
      </c>
      <c r="E18" s="257"/>
      <c r="F18" s="258"/>
      <c r="H18" s="260"/>
      <c r="I18" s="261"/>
      <c r="J18" s="260"/>
      <c r="K18" s="260"/>
      <c r="L18" s="260"/>
      <c r="M18" s="260"/>
      <c r="R18" s="246"/>
      <c r="S18" s="247"/>
      <c r="T18" s="245"/>
    </row>
    <row r="19" spans="1:20" s="240" customFormat="1" ht="15" x14ac:dyDescent="0.2">
      <c r="A19" s="262">
        <f>SUM(A16:A18)</f>
        <v>1</v>
      </c>
      <c r="B19" s="372" t="s">
        <v>253</v>
      </c>
      <c r="C19" s="256"/>
      <c r="D19" s="374"/>
      <c r="E19" s="280"/>
      <c r="F19" s="367"/>
      <c r="H19" s="333"/>
      <c r="I19" s="261"/>
      <c r="J19" s="260"/>
      <c r="K19" s="260"/>
      <c r="L19" s="260"/>
      <c r="M19" s="260"/>
    </row>
    <row r="20" spans="1:20" s="240" customFormat="1" ht="15" x14ac:dyDescent="0.2">
      <c r="B20" s="371" t="s">
        <v>252</v>
      </c>
      <c r="C20" s="256"/>
      <c r="D20" s="374"/>
      <c r="E20" s="280"/>
      <c r="F20" s="367"/>
      <c r="H20" s="333"/>
      <c r="I20" s="261"/>
      <c r="J20" s="260"/>
      <c r="K20" s="260"/>
      <c r="L20" s="260"/>
      <c r="M20" s="260"/>
    </row>
    <row r="21" spans="1:20" s="240" customFormat="1" ht="15" x14ac:dyDescent="0.2">
      <c r="A21" s="376">
        <f>SUM(A16:A18)*D12*2080</f>
        <v>0</v>
      </c>
      <c r="B21" s="255" t="s">
        <v>176</v>
      </c>
      <c r="C21" s="256">
        <f>AsstTeacherFCC/2080</f>
        <v>12</v>
      </c>
      <c r="D21" s="374">
        <f>(C21*A21)</f>
        <v>0</v>
      </c>
      <c r="E21" s="257"/>
      <c r="F21" s="258"/>
      <c r="H21" s="260"/>
      <c r="I21" s="261"/>
      <c r="J21" s="260"/>
      <c r="K21" s="260"/>
      <c r="L21" s="260"/>
      <c r="M21" s="260"/>
    </row>
    <row r="22" spans="1:20" s="240" customFormat="1" ht="15" x14ac:dyDescent="0.2">
      <c r="A22" s="376">
        <f>'VariablesINPUT-FCC'!D41*52</f>
        <v>520</v>
      </c>
      <c r="B22" s="255" t="s">
        <v>251</v>
      </c>
      <c r="C22" s="256">
        <f>AsstTeacherFCC/2080</f>
        <v>12</v>
      </c>
      <c r="D22" s="374">
        <f>(C22*A22)</f>
        <v>6240</v>
      </c>
      <c r="E22" s="257"/>
      <c r="F22" s="258"/>
      <c r="H22" s="260"/>
      <c r="I22" s="261"/>
      <c r="J22" s="260"/>
      <c r="K22" s="260"/>
      <c r="L22" s="260"/>
      <c r="M22" s="260"/>
    </row>
    <row r="23" spans="1:20" s="240" customFormat="1" ht="15" x14ac:dyDescent="0.2">
      <c r="A23" s="443">
        <f>'VariablesINPUT-FCC'!D38*520</f>
        <v>0</v>
      </c>
      <c r="B23" s="255" t="s">
        <v>185</v>
      </c>
      <c r="C23" s="256">
        <f>AsstTeacherFCC/2080</f>
        <v>12</v>
      </c>
      <c r="D23" s="374">
        <f>(C23*A23)</f>
        <v>0</v>
      </c>
      <c r="E23" s="280"/>
      <c r="F23" s="367"/>
      <c r="H23" s="333"/>
      <c r="I23" s="261"/>
      <c r="J23" s="260"/>
      <c r="K23" s="260"/>
      <c r="L23" s="260"/>
      <c r="M23" s="260"/>
    </row>
    <row r="24" spans="1:20" s="240" customFormat="1" ht="15" x14ac:dyDescent="0.2">
      <c r="A24" s="376">
        <f>(SUM(A16:A18)*12)</f>
        <v>12</v>
      </c>
      <c r="B24" s="255" t="s">
        <v>179</v>
      </c>
      <c r="C24" s="256">
        <f>AsstTeacherFCC/2080</f>
        <v>12</v>
      </c>
      <c r="D24" s="374">
        <f>(C24*A24)</f>
        <v>144</v>
      </c>
      <c r="E24" s="280"/>
      <c r="F24" s="258"/>
      <c r="H24" s="333"/>
      <c r="I24" s="261"/>
      <c r="J24" s="260"/>
      <c r="K24" s="260"/>
      <c r="L24" s="260"/>
      <c r="M24" s="260"/>
    </row>
    <row r="25" spans="1:20" ht="14" x14ac:dyDescent="0.15">
      <c r="A25" s="377">
        <f>SUM(A21:A24)</f>
        <v>532</v>
      </c>
      <c r="B25" s="373" t="s">
        <v>254</v>
      </c>
    </row>
    <row r="26" spans="1:20" s="240" customFormat="1" ht="15" x14ac:dyDescent="0.2">
      <c r="B26" s="263" t="s">
        <v>157</v>
      </c>
      <c r="C26" s="264"/>
      <c r="D26" s="375">
        <f>SUM(D16:D24)</f>
        <v>42264</v>
      </c>
      <c r="I26" s="261"/>
    </row>
    <row r="27" spans="1:20" x14ac:dyDescent="0.15">
      <c r="A27" s="42"/>
      <c r="C27" s="219"/>
      <c r="D27" s="6"/>
      <c r="E27" s="220"/>
      <c r="F27" s="90"/>
      <c r="G27" s="52"/>
    </row>
    <row r="28" spans="1:20" s="240" customFormat="1" ht="15" x14ac:dyDescent="0.2">
      <c r="B28" s="265" t="s">
        <v>158</v>
      </c>
      <c r="C28" s="266"/>
      <c r="E28" s="267"/>
      <c r="H28" s="260"/>
      <c r="I28" s="260"/>
      <c r="J28" s="260"/>
      <c r="K28" s="260"/>
      <c r="L28" s="260"/>
      <c r="M28" s="260"/>
      <c r="N28" s="260"/>
      <c r="O28" s="260"/>
      <c r="P28" s="260"/>
    </row>
    <row r="29" spans="1:20" s="240" customFormat="1" ht="15" x14ac:dyDescent="0.2">
      <c r="B29" s="255" t="s">
        <v>15</v>
      </c>
      <c r="C29" s="268">
        <v>6.2E-2</v>
      </c>
      <c r="D29" s="269">
        <f>SUM(D$26*C29)</f>
        <v>2620.3679999999999</v>
      </c>
      <c r="F29" s="252"/>
      <c r="G29" s="270"/>
      <c r="H29" s="260"/>
      <c r="I29" s="260"/>
      <c r="J29" s="260"/>
      <c r="K29" s="260"/>
      <c r="L29" s="260"/>
      <c r="M29" s="260"/>
      <c r="N29" s="260"/>
      <c r="O29" s="260"/>
      <c r="P29" s="260"/>
    </row>
    <row r="30" spans="1:20" s="240" customFormat="1" ht="15" x14ac:dyDescent="0.2">
      <c r="B30" s="255" t="s">
        <v>5</v>
      </c>
      <c r="C30" s="268">
        <v>1.4500000000000001E-2</v>
      </c>
      <c r="D30" s="269">
        <f>SUM(D$26*C30)</f>
        <v>612.82799999999997</v>
      </c>
      <c r="F30" s="271"/>
      <c r="G30" s="272"/>
      <c r="H30" s="260"/>
      <c r="I30" s="260"/>
      <c r="J30" s="260"/>
      <c r="K30" s="260"/>
      <c r="L30" s="260"/>
      <c r="M30" s="260"/>
      <c r="N30" s="260"/>
      <c r="O30" s="260"/>
      <c r="P30" s="260"/>
    </row>
    <row r="31" spans="1:20" s="240" customFormat="1" ht="15" x14ac:dyDescent="0.2">
      <c r="B31" s="255" t="s">
        <v>159</v>
      </c>
      <c r="C31" s="315">
        <v>5.0000000000000001E-3</v>
      </c>
      <c r="D31" s="269">
        <f>SUM(D$26*C31)</f>
        <v>211.32</v>
      </c>
      <c r="F31" s="273"/>
      <c r="G31" s="267"/>
      <c r="H31" s="260"/>
      <c r="I31" s="260"/>
      <c r="J31" s="260"/>
      <c r="K31" s="260"/>
      <c r="L31" s="260"/>
      <c r="M31" s="260"/>
      <c r="N31" s="260"/>
      <c r="O31" s="260"/>
      <c r="P31" s="260"/>
    </row>
    <row r="32" spans="1:20" s="240" customFormat="1" ht="15" x14ac:dyDescent="0.2">
      <c r="B32" s="255" t="s">
        <v>6</v>
      </c>
      <c r="C32" s="315">
        <v>0.02</v>
      </c>
      <c r="D32" s="269">
        <f>SUM(D$26*C32)</f>
        <v>845.28</v>
      </c>
      <c r="F32" s="271"/>
      <c r="G32" s="267"/>
      <c r="H32" s="260"/>
      <c r="I32" s="260"/>
      <c r="J32" s="260"/>
      <c r="K32" s="260"/>
      <c r="L32" s="260"/>
      <c r="M32" s="260"/>
      <c r="N32" s="260"/>
      <c r="O32" s="260"/>
      <c r="P32" s="260"/>
    </row>
    <row r="33" spans="2:9" s="240" customFormat="1" ht="14" x14ac:dyDescent="0.15">
      <c r="B33" s="274" t="s">
        <v>3</v>
      </c>
      <c r="C33" s="275">
        <f>SUM(C29:C32)</f>
        <v>0.10150000000000001</v>
      </c>
      <c r="D33" s="276">
        <f>SUM(D29:D32)</f>
        <v>4289.7960000000003</v>
      </c>
      <c r="G33" s="267"/>
    </row>
    <row r="34" spans="2:9" ht="17" customHeight="1" x14ac:dyDescent="0.15">
      <c r="B34" s="20"/>
    </row>
    <row r="35" spans="2:9" s="240" customFormat="1" ht="14" x14ac:dyDescent="0.15">
      <c r="B35" s="265" t="s">
        <v>19</v>
      </c>
      <c r="C35" s="277" t="s">
        <v>160</v>
      </c>
      <c r="F35" s="271"/>
      <c r="G35" s="267"/>
    </row>
    <row r="36" spans="2:9" s="240" customFormat="1" ht="14" x14ac:dyDescent="0.15">
      <c r="B36" s="255" t="s">
        <v>161</v>
      </c>
      <c r="C36" s="277">
        <f>IF(Sick_Days&gt;0,(Sick_Days*(C18/2080)*10),0)</f>
        <v>1200</v>
      </c>
      <c r="D36" s="296">
        <f>A19*C36</f>
        <v>1200</v>
      </c>
      <c r="F36" s="271"/>
      <c r="G36" s="267"/>
    </row>
    <row r="37" spans="2:9" s="240" customFormat="1" ht="14" x14ac:dyDescent="0.15">
      <c r="B37" s="255" t="s">
        <v>162</v>
      </c>
      <c r="C37" s="277">
        <f>IF(Paid_Leave&gt;0,(Paid_Leave*(C18/2080)*10),0)</f>
        <v>1200</v>
      </c>
      <c r="D37" s="296">
        <f>A19*C37</f>
        <v>1200</v>
      </c>
      <c r="F37" s="271"/>
      <c r="G37" s="267"/>
    </row>
    <row r="38" spans="2:9" s="240" customFormat="1" ht="14" x14ac:dyDescent="0.15">
      <c r="B38" s="278" t="s">
        <v>24</v>
      </c>
      <c r="C38" s="267">
        <f>IF(HealthIns="Yes",E38, "0")</f>
        <v>5477</v>
      </c>
      <c r="D38" s="267">
        <f>SUM(A19*C38)</f>
        <v>5477</v>
      </c>
      <c r="E38" s="279">
        <v>5477</v>
      </c>
      <c r="F38" s="2" t="s">
        <v>206</v>
      </c>
      <c r="G38" s="267"/>
    </row>
    <row r="39" spans="2:9" s="240" customFormat="1" x14ac:dyDescent="0.15">
      <c r="B39" s="263" t="s">
        <v>163</v>
      </c>
      <c r="D39" s="281">
        <f>SUM(D36:D38)</f>
        <v>7877</v>
      </c>
      <c r="F39" s="271"/>
      <c r="G39" s="282"/>
    </row>
    <row r="40" spans="2:9" s="240" customFormat="1" x14ac:dyDescent="0.15">
      <c r="B40" s="278"/>
      <c r="C40" s="280"/>
      <c r="D40" s="267"/>
      <c r="F40" s="271"/>
      <c r="G40" s="282"/>
    </row>
    <row r="41" spans="2:9" s="240" customFormat="1" x14ac:dyDescent="0.15">
      <c r="B41" s="263" t="s">
        <v>164</v>
      </c>
      <c r="C41" s="252"/>
      <c r="D41" s="276">
        <f>D26+D33+D39</f>
        <v>54430.796000000002</v>
      </c>
    </row>
    <row r="42" spans="2:9" ht="12.5" customHeight="1" x14ac:dyDescent="0.15">
      <c r="C42" s="45"/>
      <c r="D42" s="6"/>
      <c r="G42" s="221"/>
    </row>
    <row r="43" spans="2:9" x14ac:dyDescent="0.15">
      <c r="B43" s="78" t="s">
        <v>86</v>
      </c>
      <c r="C43" s="8"/>
      <c r="D43" s="7"/>
      <c r="E43" s="219"/>
      <c r="G43" s="16"/>
      <c r="H43" s="77"/>
      <c r="I43" s="77"/>
    </row>
    <row r="44" spans="2:9" x14ac:dyDescent="0.15">
      <c r="B44" s="24" t="str">
        <f>QualVar!A7</f>
        <v>Family Engagement</v>
      </c>
      <c r="C44" s="8"/>
      <c r="D44" s="6">
        <f>IF('VariablesINPUT-FCC'!D32='VariablesINPUT-FCC'!L32,QualVar!B10,
IF('VariablesINPUT-FCC'!D32='VariablesINPUT-FCC'!M32,QualVar!C10,
IF('VariablesINPUT-FCC'!D32='VariablesINPUT-FCC'!N32,QualVar!D10,
IF('VariablesINPUT-FCC'!D32='VariablesINPUT-FCC'!O32,QualVar!E10,0))))</f>
        <v>0</v>
      </c>
      <c r="E44" s="219"/>
      <c r="G44" s="16"/>
    </row>
    <row r="45" spans="2:9" x14ac:dyDescent="0.15">
      <c r="B45" s="24" t="str">
        <f>QualVar!A12</f>
        <v>Professional Development Supports</v>
      </c>
      <c r="C45" s="8"/>
      <c r="D45" s="6">
        <f>IF('VariablesINPUT-FCC'!D33='VariablesINPUT-FCC'!L33,QualVar!B17,
IF('VariablesINPUT-FCC'!D33='VariablesINPUT-FCC'!M33,QualVar!C17,
IF('VariablesINPUT-FCC'!D33='VariablesINPUT-FCC'!N33,QualVar!D17,
IF('VariablesINPUT-FCC'!D33='VariablesINPUT-FCC'!O33,QualVar!E17,0))))</f>
        <v>0</v>
      </c>
      <c r="E45" s="219"/>
      <c r="G45" s="16"/>
    </row>
    <row r="46" spans="2:9" x14ac:dyDescent="0.15">
      <c r="B46" s="24" t="str">
        <f>QualVar!A19</f>
        <v>Curriculum Implementation Supports</v>
      </c>
      <c r="C46" s="8"/>
      <c r="D46" s="6">
        <f>IF('VariablesINPUT-FCC'!D34='VariablesINPUT-FCC'!L34,QualVar!B21,
IF('VariablesINPUT-FCC'!D34='VariablesINPUT-FCC'!M34,QualVar!D21,
IF('VariablesINPUT-FCC'!D34='VariablesINPUT-FCC'!N34,QualVar!E21,0)))</f>
        <v>0</v>
      </c>
      <c r="E46" s="219"/>
    </row>
    <row r="47" spans="2:9" x14ac:dyDescent="0.15">
      <c r="B47" s="24" t="str">
        <f>QualVar!A23</f>
        <v>Educational Materials</v>
      </c>
      <c r="C47" s="8"/>
      <c r="D47" s="6">
        <f>IF('VariablesINPUT-FCC'!D35='VariablesINPUT-FCC'!L35,QualVar!B25,
IF('VariablesINPUT-FCC'!D35='VariablesINPUT-FCC'!M35,QualVar!C25,
IF('VariablesINPUT-FCC'!D35='VariablesINPUT-FCC'!N35,QualVar!D25,
IF('VariablesINPUT-FCC'!D35='VariablesINPUT-FCC'!O35,QualVar!E25,0))))</f>
        <v>0</v>
      </c>
      <c r="E47" s="219"/>
    </row>
    <row r="48" spans="2:9" x14ac:dyDescent="0.15">
      <c r="B48" s="24" t="str">
        <f>QualVar!A27</f>
        <v>Comprehensive Health and Development</v>
      </c>
      <c r="C48" s="8"/>
      <c r="D48" s="6">
        <f>IF('VariablesINPUT-FCC'!D36='VariablesINPUT-FCC'!L36,QualVar!B29,
IF('VariablesINPUT-FCC'!D36='VariablesINPUT-FCC'!M36,QualVar!E29,0))</f>
        <v>0</v>
      </c>
      <c r="E48" s="219"/>
    </row>
    <row r="49" spans="1:15" x14ac:dyDescent="0.15">
      <c r="B49" s="24" t="str">
        <f>QualVar!A31</f>
        <v>Inclusion Materials</v>
      </c>
      <c r="C49" s="8"/>
      <c r="D49" s="6">
        <f>IF('VariablesINPUT-FCC'!D37='VariablesINPUT-FCC'!L37,QualVar!B33,
IF('VariablesINPUT-FCC'!D37='VariablesINPUT-FCC'!M37,QualVar!E33,0))</f>
        <v>0</v>
      </c>
      <c r="E49" s="219"/>
    </row>
    <row r="50" spans="1:15" x14ac:dyDescent="0.15">
      <c r="B50" s="10" t="s">
        <v>87</v>
      </c>
      <c r="C50" s="8"/>
      <c r="D50" s="337">
        <f>SUM(D44:D49)</f>
        <v>0</v>
      </c>
      <c r="H50" s="25"/>
    </row>
    <row r="51" spans="1:15" x14ac:dyDescent="0.15">
      <c r="B51" s="10"/>
      <c r="C51" s="8"/>
      <c r="D51" s="7"/>
      <c r="E51" s="219"/>
      <c r="H51" s="25"/>
    </row>
    <row r="52" spans="1:15" s="240" customFormat="1" ht="35" thickBot="1" x14ac:dyDescent="0.25">
      <c r="B52" s="283" t="s">
        <v>165</v>
      </c>
      <c r="C52" s="284"/>
      <c r="D52" s="250"/>
      <c r="E52" s="285"/>
      <c r="F52" s="250"/>
      <c r="G52" s="250"/>
    </row>
    <row r="53" spans="1:15" s="240" customFormat="1" ht="14" x14ac:dyDescent="0.15">
      <c r="B53" s="255" t="s">
        <v>166</v>
      </c>
      <c r="E53" s="267"/>
    </row>
    <row r="54" spans="1:15" s="240" customFormat="1" ht="14" x14ac:dyDescent="0.15">
      <c r="B54" s="255" t="s">
        <v>167</v>
      </c>
      <c r="D54" s="267">
        <f>'Nonpersonnel PCQC'!B38</f>
        <v>3363.7399999999993</v>
      </c>
      <c r="I54" s="15"/>
      <c r="J54" s="16"/>
    </row>
    <row r="55" spans="1:15" s="240" customFormat="1" ht="14" x14ac:dyDescent="0.15">
      <c r="B55" s="255" t="s">
        <v>168</v>
      </c>
      <c r="D55" s="267">
        <f>'Nonpersonnel PCQC'!C40*TotalChildren</f>
        <v>5457.85</v>
      </c>
    </row>
    <row r="56" spans="1:15" s="240" customFormat="1" ht="14" x14ac:dyDescent="0.15">
      <c r="B56" s="286" t="s">
        <v>13</v>
      </c>
      <c r="D56" s="267">
        <f>'Nonpersonnel PCQC'!B39</f>
        <v>3368.9352678571427</v>
      </c>
    </row>
    <row r="57" spans="1:15" s="240" customFormat="1" ht="14" x14ac:dyDescent="0.15">
      <c r="B57" s="286" t="s">
        <v>192</v>
      </c>
      <c r="D57" s="267">
        <v>0</v>
      </c>
    </row>
    <row r="58" spans="1:15" s="240" customFormat="1" x14ac:dyDescent="0.15">
      <c r="B58" s="263" t="s">
        <v>169</v>
      </c>
      <c r="D58" s="338">
        <f>SUM(D54:D56)</f>
        <v>12190.525267857143</v>
      </c>
    </row>
    <row r="59" spans="1:15" ht="13" customHeight="1" x14ac:dyDescent="0.15">
      <c r="A59" s="44"/>
      <c r="B59" s="50" t="s">
        <v>0</v>
      </c>
      <c r="D59" s="19">
        <f>E59*(D41+QualityVarCost+D58)</f>
        <v>3331.0660633928574</v>
      </c>
      <c r="E59" s="218">
        <v>0.05</v>
      </c>
      <c r="F59" s="2" t="s">
        <v>1</v>
      </c>
      <c r="K59" s="25"/>
      <c r="L59" s="25"/>
      <c r="M59" s="46"/>
      <c r="N59" s="23"/>
      <c r="O59" s="23"/>
    </row>
    <row r="60" spans="1:15" ht="13" customHeight="1" x14ac:dyDescent="0.15">
      <c r="A60" s="44"/>
      <c r="B60" s="50"/>
      <c r="C60" s="23"/>
      <c r="D60" s="19"/>
      <c r="E60" s="48"/>
      <c r="K60" s="25"/>
      <c r="L60" s="25"/>
      <c r="M60" s="46"/>
      <c r="N60" s="23"/>
      <c r="O60" s="23"/>
    </row>
    <row r="61" spans="1:15" x14ac:dyDescent="0.15">
      <c r="A61" s="53"/>
      <c r="C61" s="43" t="s">
        <v>20</v>
      </c>
      <c r="D61" s="33">
        <f>SUM(D41,QualityVarCost,D58,Reserve_Fund)</f>
        <v>69952.387331250007</v>
      </c>
      <c r="G61" s="53"/>
      <c r="K61" s="23"/>
      <c r="L61" s="23"/>
      <c r="M61" s="23"/>
      <c r="N61" s="23"/>
      <c r="O61" s="23"/>
    </row>
    <row r="62" spans="1:15" x14ac:dyDescent="0.15">
      <c r="D62" s="19"/>
      <c r="G62" s="77"/>
      <c r="K62" s="77"/>
      <c r="L62" s="77"/>
    </row>
    <row r="63" spans="1:15" ht="14" x14ac:dyDescent="0.15">
      <c r="B63" s="163" t="s">
        <v>257</v>
      </c>
      <c r="C63" s="342" t="str">
        <f>'VariablesINPUT-FCC'!E75</f>
        <v>New Castle</v>
      </c>
      <c r="D63" s="341" t="s">
        <v>191</v>
      </c>
      <c r="E63" s="236"/>
      <c r="H63" s="236" t="s">
        <v>92</v>
      </c>
      <c r="I63" s="236" t="s">
        <v>91</v>
      </c>
      <c r="J63" s="236" t="s">
        <v>90</v>
      </c>
    </row>
    <row r="64" spans="1:15" ht="14" x14ac:dyDescent="0.15">
      <c r="B64" s="163" t="s">
        <v>142</v>
      </c>
      <c r="C64" s="342" t="str">
        <f>'VariablesINPUT-FCC'!E81</f>
        <v>New Castle</v>
      </c>
      <c r="D64" s="341" t="s">
        <v>191</v>
      </c>
      <c r="I64" s="236" t="s">
        <v>89</v>
      </c>
      <c r="J64" s="236" t="s">
        <v>138</v>
      </c>
      <c r="K64" s="236" t="s">
        <v>139</v>
      </c>
      <c r="L64" s="236" t="s">
        <v>140</v>
      </c>
      <c r="M64" s="236" t="s">
        <v>141</v>
      </c>
    </row>
    <row r="65" spans="1:9" x14ac:dyDescent="0.15">
      <c r="A65" s="15" t="s">
        <v>109</v>
      </c>
      <c r="C65" s="20"/>
      <c r="D65" s="179"/>
      <c r="E65" s="180"/>
      <c r="F65" s="53"/>
      <c r="G65" s="53"/>
      <c r="H65" s="53"/>
      <c r="I65" s="177"/>
    </row>
    <row r="66" spans="1:9" x14ac:dyDescent="0.15">
      <c r="A66" s="233">
        <f>SUM(A68:A75)</f>
        <v>5</v>
      </c>
      <c r="B66" s="1" t="s">
        <v>97</v>
      </c>
      <c r="C66" s="1" t="s">
        <v>172</v>
      </c>
      <c r="D66" s="336" t="s">
        <v>9</v>
      </c>
      <c r="E66" s="53"/>
      <c r="H66" s="53"/>
      <c r="I66" s="177"/>
    </row>
    <row r="67" spans="1:9" x14ac:dyDescent="0.15">
      <c r="A67" s="52">
        <f>'VariablesINPUT-FCC'!D60</f>
        <v>4</v>
      </c>
      <c r="B67" s="15" t="s">
        <v>102</v>
      </c>
      <c r="C67" s="21">
        <f>'VariablesINPUT-FCC'!B15*AVERAGE('Fed CACFP'!J8:J9)*52</f>
        <v>6325.7999999999993</v>
      </c>
      <c r="D67" s="235">
        <f>C67</f>
        <v>6325.7999999999993</v>
      </c>
      <c r="E67" s="178"/>
      <c r="F67" s="53"/>
      <c r="G67" s="53"/>
      <c r="H67" s="53"/>
      <c r="I67" s="177"/>
    </row>
    <row r="68" spans="1:9" x14ac:dyDescent="0.15">
      <c r="A68" s="52">
        <f>'VariablesINPUT-FCC'!E55</f>
        <v>0</v>
      </c>
      <c r="B68" s="15" t="s">
        <v>103</v>
      </c>
      <c r="C68" s="15">
        <f t="shared" ref="C68:C69" si="2">SUM(F68*12)</f>
        <v>10725</v>
      </c>
      <c r="D68" s="227">
        <f>A68*C68</f>
        <v>0</v>
      </c>
      <c r="E68" s="19"/>
      <c r="F68" s="28">
        <f>IF(C$64="New Castle",'Tuition Rates'!D3,IF(C$64="Kent",'Tuition Rates'!D11,IF(C$64="Sussex",'Tuition Rates'!D19,)))</f>
        <v>893.75</v>
      </c>
      <c r="G68" s="303"/>
    </row>
    <row r="69" spans="1:9" x14ac:dyDescent="0.15">
      <c r="A69" s="52">
        <f>'VariablesINPUT-FCC'!E56</f>
        <v>1</v>
      </c>
      <c r="B69" s="15" t="s">
        <v>104</v>
      </c>
      <c r="C69" s="15">
        <f t="shared" si="2"/>
        <v>9880</v>
      </c>
      <c r="D69" s="227">
        <f t="shared" ref="D69:D71" si="3">A69*C69</f>
        <v>9880</v>
      </c>
      <c r="E69" s="19"/>
      <c r="F69" s="360">
        <f>IF(C$64="New Castle",'Tuition Rates'!D4,IF(C$64="Kent",'Tuition Rates'!D12,IF(C$64="Sussex",'Tuition Rates'!D20,)))</f>
        <v>823.33333333333337</v>
      </c>
      <c r="G69" s="303"/>
    </row>
    <row r="70" spans="1:9" x14ac:dyDescent="0.15">
      <c r="A70" s="52">
        <f>'VariablesINPUT-FCC'!E57</f>
        <v>1</v>
      </c>
      <c r="B70" s="15" t="s">
        <v>105</v>
      </c>
      <c r="C70" s="15">
        <f>SUM(F70*12)</f>
        <v>9360</v>
      </c>
      <c r="D70" s="227">
        <f t="shared" si="3"/>
        <v>9360</v>
      </c>
      <c r="E70" s="19"/>
      <c r="F70" s="28">
        <f>IF(C$64="New Castle",'Tuition Rates'!D5,IF(C$64="Kent",'Tuition Rates'!D13,IF(C$64="Sussex",'Tuition Rates'!D21,)))</f>
        <v>780</v>
      </c>
      <c r="G70" s="303"/>
    </row>
    <row r="71" spans="1:9" x14ac:dyDescent="0.15">
      <c r="A71" s="52">
        <f>'VariablesINPUT-FCC'!E58</f>
        <v>0</v>
      </c>
      <c r="B71" s="15" t="s">
        <v>106</v>
      </c>
      <c r="C71" s="15">
        <f>SUM(F71*12)</f>
        <v>5200</v>
      </c>
      <c r="D71" s="227">
        <f t="shared" si="3"/>
        <v>0</v>
      </c>
      <c r="E71" s="19"/>
      <c r="F71" s="361">
        <f>IF(C$64="New Castle",'Tuition Rates'!D6,IF(C$64="Kent",'Tuition Rates'!D14,IF(C$64="Sussex",'Tuition Rates'!D22,)))</f>
        <v>433.33333333333331</v>
      </c>
      <c r="G71" s="303"/>
    </row>
    <row r="72" spans="1:9" x14ac:dyDescent="0.15">
      <c r="A72" s="52">
        <f>'VariablesINPUT-FCC'!C55</f>
        <v>0</v>
      </c>
      <c r="B72" s="15" t="s">
        <v>227</v>
      </c>
      <c r="C72" s="15">
        <f t="shared" ref="C72:C79" si="4">SUM(F72*12)</f>
        <v>7508.8</v>
      </c>
      <c r="D72" s="227">
        <f>A72*C72</f>
        <v>0</v>
      </c>
      <c r="E72" s="19"/>
      <c r="F72" s="360">
        <f>IF(C$63="New Castle",'Subsidy Rates'!D3,IF(C$63="Kent",'Subsidy Rates'!D11,'Subsidy Rates'!D19))</f>
        <v>625.73333333333335</v>
      </c>
      <c r="G72" s="303"/>
    </row>
    <row r="73" spans="1:9" x14ac:dyDescent="0.15">
      <c r="A73" s="52">
        <f>'VariablesINPUT-FCC'!C56</f>
        <v>1</v>
      </c>
      <c r="B73" s="15" t="s">
        <v>228</v>
      </c>
      <c r="C73" s="15">
        <f t="shared" si="4"/>
        <v>6916</v>
      </c>
      <c r="D73" s="227">
        <f>A73*C73</f>
        <v>6916</v>
      </c>
      <c r="E73" s="19"/>
      <c r="F73" s="360">
        <f>IF(C$63="New Castle",'Subsidy Rates'!D4,IF(C$63="Kent",'Subsidy Rates'!D12,'Subsidy Rates'!D20))</f>
        <v>576.33333333333337</v>
      </c>
      <c r="G73" s="303"/>
    </row>
    <row r="74" spans="1:9" x14ac:dyDescent="0.15">
      <c r="A74" s="52">
        <f>'VariablesINPUT-FCC'!C57</f>
        <v>1</v>
      </c>
      <c r="B74" s="15" t="s">
        <v>229</v>
      </c>
      <c r="C74" s="15">
        <f t="shared" si="4"/>
        <v>6552</v>
      </c>
      <c r="D74" s="227">
        <f t="shared" ref="D74:D75" si="5">A74*C74</f>
        <v>6552</v>
      </c>
      <c r="E74" s="19"/>
      <c r="F74" s="360">
        <f>IF(C$63="New Castle",'Subsidy Rates'!D5,IF(C$63="Kent",'Subsidy Rates'!D13,'Subsidy Rates'!D21))</f>
        <v>546</v>
      </c>
      <c r="G74" s="303"/>
    </row>
    <row r="75" spans="1:9" x14ac:dyDescent="0.15">
      <c r="A75" s="52">
        <f>'VariablesINPUT-FCC'!C58</f>
        <v>1</v>
      </c>
      <c r="B75" s="15" t="s">
        <v>230</v>
      </c>
      <c r="C75" s="15">
        <f t="shared" si="4"/>
        <v>6084</v>
      </c>
      <c r="D75" s="227">
        <f t="shared" si="5"/>
        <v>6084</v>
      </c>
      <c r="E75" s="19"/>
      <c r="F75" s="360">
        <f>IF(C$63="New Castle",'Subsidy Rates'!D6,IF(C$63="Kent",'Subsidy Rates'!D14,'Subsidy Rates'!D22))</f>
        <v>507</v>
      </c>
      <c r="G75" s="303"/>
      <c r="H75" s="15" t="s">
        <v>193</v>
      </c>
    </row>
    <row r="76" spans="1:9" x14ac:dyDescent="0.15">
      <c r="A76" s="52">
        <f>'VariablesINPUT-FCC'!D55</f>
        <v>1</v>
      </c>
      <c r="B76" s="15" t="s">
        <v>231</v>
      </c>
      <c r="C76" s="15">
        <f t="shared" si="4"/>
        <v>7872.8000000000011</v>
      </c>
      <c r="D76" s="227">
        <f>A76*C76</f>
        <v>7872.8000000000011</v>
      </c>
      <c r="E76" s="19"/>
      <c r="F76" s="360">
        <f>IF(C$63="New Castle",'Subsidy Rates'!E3,IF(C$63="Kent",'Subsidy Rates'!E11,'Subsidy Rates'!E19))</f>
        <v>656.06666666666672</v>
      </c>
      <c r="G76" s="303"/>
    </row>
    <row r="77" spans="1:9" x14ac:dyDescent="0.15">
      <c r="A77" s="52">
        <f>'VariablesINPUT-FCC'!D56</f>
        <v>0</v>
      </c>
      <c r="B77" s="15" t="s">
        <v>232</v>
      </c>
      <c r="C77" s="15">
        <f t="shared" si="4"/>
        <v>7872.8000000000011</v>
      </c>
      <c r="D77" s="227">
        <f>A77*C77</f>
        <v>0</v>
      </c>
      <c r="E77" s="19"/>
      <c r="F77" s="360">
        <f>IF(C$63="New Castle",'Subsidy Rates'!E4,IF(C$63="Kent",'Subsidy Rates'!E12,'Subsidy Rates'!E20))</f>
        <v>656.06666666666672</v>
      </c>
      <c r="G77" s="303"/>
    </row>
    <row r="78" spans="1:9" x14ac:dyDescent="0.15">
      <c r="A78" s="52">
        <f>'VariablesINPUT-FCC'!D57</f>
        <v>0</v>
      </c>
      <c r="B78" s="15" t="s">
        <v>233</v>
      </c>
      <c r="C78" s="15">
        <f t="shared" si="4"/>
        <v>7872.8000000000011</v>
      </c>
      <c r="D78" s="227">
        <f t="shared" ref="D78:D79" si="6">A78*C78</f>
        <v>0</v>
      </c>
      <c r="E78" s="19"/>
      <c r="F78" s="360">
        <f>IF(C$63="New Castle",'Subsidy Rates'!E5,IF(C$63="Kent",'Subsidy Rates'!E13,'Subsidy Rates'!E21))</f>
        <v>656.06666666666672</v>
      </c>
      <c r="G78" s="303"/>
    </row>
    <row r="79" spans="1:9" x14ac:dyDescent="0.15">
      <c r="A79" s="52">
        <f>'VariablesINPUT-FCC'!D58</f>
        <v>0</v>
      </c>
      <c r="B79" s="15" t="s">
        <v>234</v>
      </c>
      <c r="C79" s="15">
        <f t="shared" si="4"/>
        <v>6388.2000000000007</v>
      </c>
      <c r="D79" s="227">
        <f t="shared" si="6"/>
        <v>0</v>
      </c>
      <c r="E79" s="19"/>
      <c r="F79" s="360">
        <f>IF(C$63="New Castle",'Subsidy Rates'!E6,IF(C$63="Kent",'Subsidy Rates'!E14,'Subsidy Rates'!E22))</f>
        <v>532.35</v>
      </c>
      <c r="G79" s="303"/>
      <c r="H79" s="15" t="s">
        <v>193</v>
      </c>
    </row>
    <row r="80" spans="1:9" ht="14" thickBot="1" x14ac:dyDescent="0.2">
      <c r="B80" s="15" t="s">
        <v>107</v>
      </c>
      <c r="D80" s="228">
        <f>'VariablesINPUT-FCC'!D63</f>
        <v>500</v>
      </c>
      <c r="E80" s="19"/>
    </row>
    <row r="81" spans="2:9" x14ac:dyDescent="0.15">
      <c r="B81" s="14"/>
      <c r="D81" s="234">
        <f>SUM(D67:D80)</f>
        <v>53490.600000000006</v>
      </c>
      <c r="E81" s="17" t="s">
        <v>108</v>
      </c>
      <c r="H81" s="61" t="s">
        <v>27</v>
      </c>
      <c r="I81" s="222"/>
    </row>
    <row r="82" spans="2:9" x14ac:dyDescent="0.15">
      <c r="H82" s="62" t="s">
        <v>40</v>
      </c>
      <c r="I82" s="223">
        <f>C7*Infants</f>
        <v>12591.429719625001</v>
      </c>
    </row>
    <row r="83" spans="2:9" x14ac:dyDescent="0.15">
      <c r="B83" s="175" t="s">
        <v>133</v>
      </c>
      <c r="C83" s="53"/>
      <c r="D83" s="53"/>
      <c r="E83" s="53"/>
      <c r="F83" s="53"/>
      <c r="H83" s="62" t="s">
        <v>41</v>
      </c>
      <c r="I83" s="223">
        <f>C8*Toddlers</f>
        <v>25182.859439250002</v>
      </c>
    </row>
    <row r="84" spans="2:9" x14ac:dyDescent="0.15">
      <c r="B84" s="53" t="s">
        <v>134</v>
      </c>
      <c r="C84" s="176">
        <f>BadDebt</f>
        <v>0.03</v>
      </c>
      <c r="D84" s="177">
        <f>C84*(D81-D80)</f>
        <v>1589.7180000000001</v>
      </c>
      <c r="E84" s="53"/>
      <c r="F84" s="53"/>
      <c r="H84" s="62" t="s">
        <v>42</v>
      </c>
      <c r="I84" s="223">
        <f>C9*Preschoolers</f>
        <v>25182.859439250002</v>
      </c>
    </row>
    <row r="85" spans="2:9" x14ac:dyDescent="0.15">
      <c r="B85" s="53" t="s">
        <v>135</v>
      </c>
      <c r="C85" s="176">
        <f>EnrollEffic</f>
        <v>0.85</v>
      </c>
      <c r="D85" s="178">
        <f>(1-C85)*(D81-D84-D80)</f>
        <v>7710.132300000002</v>
      </c>
      <c r="E85" s="53"/>
      <c r="F85" s="53"/>
      <c r="H85" s="62" t="s">
        <v>76</v>
      </c>
      <c r="I85" s="229">
        <f>C10*Schoolagers</f>
        <v>6995.2387331250002</v>
      </c>
    </row>
    <row r="86" spans="2:9" x14ac:dyDescent="0.15">
      <c r="B86" s="53"/>
      <c r="C86" s="179"/>
      <c r="D86" s="180">
        <f>D81-D84-D85</f>
        <v>44190.7497</v>
      </c>
      <c r="E86" s="181" t="s">
        <v>136</v>
      </c>
      <c r="F86" s="53"/>
      <c r="H86" s="63" t="s">
        <v>9</v>
      </c>
      <c r="I86" s="224">
        <f>SUM(I82:I85)</f>
        <v>69952.387331250007</v>
      </c>
    </row>
    <row r="87" spans="2:9" ht="14" thickBot="1" x14ac:dyDescent="0.2">
      <c r="B87" s="182" t="s">
        <v>137</v>
      </c>
      <c r="C87" s="182"/>
      <c r="D87" s="183">
        <f>D86-D61</f>
        <v>-25761.637631250007</v>
      </c>
      <c r="E87" s="184">
        <f>D87/D61</f>
        <v>-0.36827388762672641</v>
      </c>
      <c r="F87" s="182" t="s">
        <v>1</v>
      </c>
      <c r="H87" s="225"/>
      <c r="I87" s="226">
        <f>I86-D61</f>
        <v>0</v>
      </c>
    </row>
  </sheetData>
  <sheetProtection algorithmName="SHA-512" hashValue="8tuOM3B2bwevCTrQkU3bPXbcNNgbcWXA/mt9UxlC/VT1tKGLQ5C0DLhq9mDwXOtd1DBTpBCihU04j+WxMEttgg==" saltValue="GtbT4x1C2xx3+xI3mfJ2lA==" spinCount="100000" sheet="1" objects="1" scenarios="1" selectLockedCells="1" selectUnlockedCells="1"/>
  <mergeCells count="1">
    <mergeCell ref="E12:I12"/>
  </mergeCells>
  <phoneticPr fontId="8" type="noConversion"/>
  <conditionalFormatting sqref="I87">
    <cfRule type="cellIs" dxfId="0" priority="1" operator="lessThan">
      <formula>0</formula>
    </cfRule>
  </conditionalFormatting>
  <pageMargins left="0.25" right="0.25" top="0.25" bottom="0.25" header="0" footer="0"/>
  <pageSetup paperSize="5" scale="92" orientation="landscape" horizontalDpi="4294967293" verticalDpi="0" r:id="rId1"/>
  <headerFooter alignWithMargins="0"/>
  <colBreaks count="1" manualBreakCount="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F50A-16A9-AD4C-8EEA-3C56E15DD8AF}">
  <sheetPr codeName="Sheet3">
    <tabColor theme="9" tint="0.79998168889431442"/>
  </sheetPr>
  <dimension ref="A1:L33"/>
  <sheetViews>
    <sheetView workbookViewId="0"/>
  </sheetViews>
  <sheetFormatPr baseColWidth="10" defaultRowHeight="13" x14ac:dyDescent="0.15"/>
  <cols>
    <col min="1" max="1" width="37.1640625" customWidth="1"/>
    <col min="2" max="3" width="14" customWidth="1"/>
    <col min="4" max="4" width="11.1640625" bestFit="1" customWidth="1"/>
    <col min="5" max="5" width="11.1640625" customWidth="1"/>
  </cols>
  <sheetData>
    <row r="1" spans="1:12" x14ac:dyDescent="0.15">
      <c r="A1" s="196" t="s">
        <v>84</v>
      </c>
      <c r="B1" s="297">
        <f>'Quality Home Profile'!C18/2080</f>
        <v>12</v>
      </c>
    </row>
    <row r="2" spans="1:12" x14ac:dyDescent="0.15">
      <c r="A2" s="41" t="s">
        <v>171</v>
      </c>
      <c r="B2" s="298">
        <f>'Quality Home Profile'!A19</f>
        <v>1</v>
      </c>
    </row>
    <row r="3" spans="1:12" x14ac:dyDescent="0.15">
      <c r="A3" s="41" t="s">
        <v>150</v>
      </c>
      <c r="B3" s="298">
        <f>'Quality Home Profile'!A16</f>
        <v>1</v>
      </c>
    </row>
    <row r="4" spans="1:12" s="150" customFormat="1" x14ac:dyDescent="0.15">
      <c r="A4" s="148"/>
      <c r="B4" s="149"/>
    </row>
    <row r="5" spans="1:12" x14ac:dyDescent="0.15">
      <c r="A5" s="64" t="s">
        <v>208</v>
      </c>
      <c r="B5" s="47">
        <f>'VariablesINPUT-FCC'!B15</f>
        <v>6</v>
      </c>
    </row>
    <row r="6" spans="1:12" x14ac:dyDescent="0.15">
      <c r="A6" s="15"/>
    </row>
    <row r="7" spans="1:12" x14ac:dyDescent="0.15">
      <c r="A7" s="147" t="s">
        <v>75</v>
      </c>
      <c r="B7" s="1" t="s">
        <v>72</v>
      </c>
      <c r="C7" s="1" t="s">
        <v>77</v>
      </c>
      <c r="D7" s="1" t="s">
        <v>197</v>
      </c>
      <c r="E7" s="1" t="s">
        <v>198</v>
      </c>
      <c r="F7" s="1"/>
    </row>
    <row r="8" spans="1:12" ht="12" customHeight="1" x14ac:dyDescent="0.15">
      <c r="A8" s="15" t="s">
        <v>82</v>
      </c>
      <c r="C8" s="5">
        <f>2*B5*B1*2</f>
        <v>288</v>
      </c>
      <c r="D8" s="5">
        <f>2*B5*B1*3</f>
        <v>432</v>
      </c>
      <c r="E8" s="5">
        <f>2*B5*B1*3</f>
        <v>432</v>
      </c>
      <c r="F8" s="5"/>
      <c r="G8" s="15" t="s">
        <v>207</v>
      </c>
    </row>
    <row r="9" spans="1:12" x14ac:dyDescent="0.15">
      <c r="A9" s="15" t="s">
        <v>209</v>
      </c>
      <c r="D9" s="84"/>
      <c r="E9" s="84">
        <f>L9*G9</f>
        <v>5817.391304347826</v>
      </c>
      <c r="F9" s="5"/>
      <c r="G9" s="6">
        <v>44600</v>
      </c>
      <c r="H9" s="15" t="s">
        <v>293</v>
      </c>
      <c r="L9">
        <f>B5/46</f>
        <v>0.13043478260869565</v>
      </c>
    </row>
    <row r="10" spans="1:12" x14ac:dyDescent="0.15">
      <c r="A10" s="81" t="s">
        <v>9</v>
      </c>
      <c r="B10" s="29">
        <f>SUM(B8:B9)</f>
        <v>0</v>
      </c>
      <c r="C10" s="83">
        <f>SUM(C8:C9)</f>
        <v>288</v>
      </c>
      <c r="D10" s="83">
        <f>SUM(D8:D9)</f>
        <v>432</v>
      </c>
      <c r="E10" s="83">
        <f>SUM(E8:E9)</f>
        <v>6249.391304347826</v>
      </c>
      <c r="F10" s="83"/>
    </row>
    <row r="12" spans="1:12" x14ac:dyDescent="0.15">
      <c r="A12" s="147" t="s">
        <v>81</v>
      </c>
      <c r="B12" s="1" t="str">
        <f>B7</f>
        <v>Licensing</v>
      </c>
      <c r="C12" s="1" t="str">
        <f t="shared" ref="C12:E12" si="0">C7</f>
        <v>Point 2</v>
      </c>
      <c r="D12" s="1" t="str">
        <f t="shared" si="0"/>
        <v>Point 3</v>
      </c>
      <c r="E12" s="1" t="str">
        <f t="shared" si="0"/>
        <v>Point 4</v>
      </c>
      <c r="F12" s="1"/>
    </row>
    <row r="13" spans="1:12" x14ac:dyDescent="0.15">
      <c r="A13" s="15" t="s">
        <v>210</v>
      </c>
      <c r="B13" s="9"/>
      <c r="C13" s="9"/>
      <c r="D13" s="9"/>
      <c r="E13" s="9">
        <f>B3*B1*40</f>
        <v>480</v>
      </c>
      <c r="F13" s="9"/>
      <c r="G13" s="15" t="s">
        <v>83</v>
      </c>
    </row>
    <row r="14" spans="1:12" x14ac:dyDescent="0.15">
      <c r="A14" s="15" t="s">
        <v>211</v>
      </c>
      <c r="B14" s="9"/>
      <c r="C14" s="9"/>
      <c r="D14" s="9"/>
      <c r="E14" s="9">
        <f>B2*B1*40</f>
        <v>480</v>
      </c>
      <c r="F14" s="9"/>
      <c r="G14" s="15"/>
    </row>
    <row r="15" spans="1:12" x14ac:dyDescent="0.15">
      <c r="A15" s="15" t="s">
        <v>212</v>
      </c>
      <c r="B15" s="9"/>
      <c r="C15" s="9">
        <f>SUM(B2)*B1*2*52</f>
        <v>1248</v>
      </c>
      <c r="D15" s="9">
        <f>SUM(B2)*B1*5*52</f>
        <v>3120</v>
      </c>
      <c r="E15" s="9">
        <f>SUM(B3)*B1*20*52</f>
        <v>12480</v>
      </c>
      <c r="F15" s="9"/>
      <c r="G15" s="15"/>
    </row>
    <row r="16" spans="1:12" x14ac:dyDescent="0.15">
      <c r="A16" s="15" t="s">
        <v>294</v>
      </c>
      <c r="B16" s="9"/>
      <c r="C16" s="9"/>
      <c r="D16" s="9"/>
      <c r="E16" s="9">
        <f>L16*55720</f>
        <v>13930</v>
      </c>
      <c r="F16" s="9"/>
      <c r="G16" s="240" t="s">
        <v>295</v>
      </c>
      <c r="H16" s="240"/>
      <c r="I16" s="240"/>
      <c r="J16" s="240"/>
      <c r="K16" s="240"/>
      <c r="L16" s="240">
        <f>IF(C5&lt;46,0.25,IF(C5&lt;64,0.5,IF(C5&lt;93,1,0)))</f>
        <v>0.25</v>
      </c>
    </row>
    <row r="17" spans="1:12" x14ac:dyDescent="0.15">
      <c r="A17" s="81" t="s">
        <v>9</v>
      </c>
      <c r="B17" s="347">
        <f>SUM(B13:B15)</f>
        <v>0</v>
      </c>
      <c r="C17" s="347">
        <f>SUM(C13:C15)</f>
        <v>1248</v>
      </c>
      <c r="D17" s="347">
        <f>SUM(D13:D15)</f>
        <v>3120</v>
      </c>
      <c r="E17" s="347">
        <f>SUM(E13:E15)</f>
        <v>13440</v>
      </c>
      <c r="F17" s="347"/>
    </row>
    <row r="19" spans="1:12" x14ac:dyDescent="0.15">
      <c r="A19" s="147" t="str">
        <f>'VariablesINPUT-FCC'!C34</f>
        <v>Curriculum Implementation Supports</v>
      </c>
      <c r="B19" s="1" t="str">
        <f>B12</f>
        <v>Licensing</v>
      </c>
      <c r="C19" s="1" t="str">
        <f>C12</f>
        <v>Point 2</v>
      </c>
      <c r="D19" s="1" t="str">
        <f>D12</f>
        <v>Point 3</v>
      </c>
      <c r="E19" s="1" t="str">
        <f>E12</f>
        <v>Point 4</v>
      </c>
      <c r="F19" s="1"/>
    </row>
    <row r="20" spans="1:12" x14ac:dyDescent="0.15">
      <c r="A20" s="348"/>
      <c r="B20" s="1"/>
      <c r="C20" s="1"/>
      <c r="D20" s="9">
        <f>150*3*52</f>
        <v>23400</v>
      </c>
      <c r="E20" s="9">
        <f>150*5*52</f>
        <v>39000</v>
      </c>
      <c r="F20" s="9"/>
      <c r="G20" s="15" t="s">
        <v>213</v>
      </c>
    </row>
    <row r="21" spans="1:12" x14ac:dyDescent="0.15">
      <c r="A21" s="81" t="s">
        <v>9</v>
      </c>
      <c r="B21" s="85">
        <f>B20</f>
        <v>0</v>
      </c>
      <c r="C21" s="85">
        <f t="shared" ref="C21:E21" si="1">C20</f>
        <v>0</v>
      </c>
      <c r="D21" s="85">
        <f t="shared" si="1"/>
        <v>23400</v>
      </c>
      <c r="E21" s="85">
        <f t="shared" si="1"/>
        <v>39000</v>
      </c>
      <c r="F21" s="85"/>
      <c r="G21" s="15"/>
    </row>
    <row r="22" spans="1:12" x14ac:dyDescent="0.15">
      <c r="A22" s="43"/>
      <c r="B22" s="369"/>
      <c r="C22" s="369"/>
      <c r="D22" s="369"/>
      <c r="E22" s="369"/>
      <c r="F22" s="369"/>
      <c r="G22" s="15"/>
    </row>
    <row r="23" spans="1:12" x14ac:dyDescent="0.15">
      <c r="A23" s="147" t="str">
        <f>'VariablesINPUT-FCC'!B35</f>
        <v>Educational Materials</v>
      </c>
      <c r="B23" s="369" t="str">
        <f>B19</f>
        <v>Licensing</v>
      </c>
      <c r="C23" s="369" t="str">
        <f t="shared" ref="C23:E23" si="2">C19</f>
        <v>Point 2</v>
      </c>
      <c r="D23" s="369" t="str">
        <f t="shared" si="2"/>
        <v>Point 3</v>
      </c>
      <c r="E23" s="369" t="str">
        <f t="shared" si="2"/>
        <v>Point 4</v>
      </c>
      <c r="F23" s="369"/>
      <c r="G23" s="15"/>
    </row>
    <row r="24" spans="1:12" x14ac:dyDescent="0.15">
      <c r="A24" s="16" t="s">
        <v>214</v>
      </c>
      <c r="B24" s="369"/>
      <c r="C24" s="369">
        <f>50*B5</f>
        <v>300</v>
      </c>
      <c r="D24" s="369">
        <f>75*B5</f>
        <v>450</v>
      </c>
      <c r="E24" s="369">
        <f>100*B5</f>
        <v>600</v>
      </c>
      <c r="F24" s="369"/>
      <c r="G24" s="15"/>
    </row>
    <row r="25" spans="1:12" x14ac:dyDescent="0.15">
      <c r="A25" s="81" t="s">
        <v>9</v>
      </c>
      <c r="B25" s="83">
        <f>SUM(B24)</f>
        <v>0</v>
      </c>
      <c r="C25" s="83">
        <f>SUM(C24)</f>
        <v>300</v>
      </c>
      <c r="D25" s="83">
        <f>SUM(D24)</f>
        <v>450</v>
      </c>
      <c r="E25" s="83">
        <f>SUM(E24)</f>
        <v>600</v>
      </c>
      <c r="F25" s="83"/>
    </row>
    <row r="26" spans="1:12" x14ac:dyDescent="0.15">
      <c r="A26" s="43"/>
      <c r="B26" s="370"/>
      <c r="C26" s="370"/>
      <c r="D26" s="370"/>
      <c r="E26" s="370"/>
      <c r="F26" s="370"/>
    </row>
    <row r="27" spans="1:12" x14ac:dyDescent="0.15">
      <c r="A27" s="147" t="str">
        <f>'VariablesINPUT-FCC'!C36</f>
        <v>Comprehensive Health and Development</v>
      </c>
      <c r="B27" s="1" t="str">
        <f>B19</f>
        <v>Licensing</v>
      </c>
      <c r="C27" s="1" t="str">
        <f t="shared" ref="C27:E27" si="3">C19</f>
        <v>Point 2</v>
      </c>
      <c r="D27" s="1" t="str">
        <f t="shared" si="3"/>
        <v>Point 3</v>
      </c>
      <c r="E27" s="1" t="str">
        <f t="shared" si="3"/>
        <v>Point 4</v>
      </c>
      <c r="F27" s="1"/>
    </row>
    <row r="28" spans="1:12" x14ac:dyDescent="0.15">
      <c r="A28" s="348"/>
      <c r="B28" s="1"/>
      <c r="C28" s="1"/>
      <c r="D28" s="1">
        <f>B5*3*100</f>
        <v>1800</v>
      </c>
      <c r="E28" s="21">
        <f>L28*55720</f>
        <v>1671.6</v>
      </c>
      <c r="F28" s="1"/>
      <c r="G28" s="15" t="s">
        <v>292</v>
      </c>
      <c r="L28">
        <f>B5/200</f>
        <v>0.03</v>
      </c>
    </row>
    <row r="29" spans="1:12" x14ac:dyDescent="0.15">
      <c r="A29" s="81" t="s">
        <v>9</v>
      </c>
      <c r="B29" s="83">
        <f>SUM(B28)</f>
        <v>0</v>
      </c>
      <c r="C29" s="83">
        <f>SUM(C28)</f>
        <v>0</v>
      </c>
      <c r="D29" s="83">
        <f>SUM(D28)</f>
        <v>1800</v>
      </c>
      <c r="E29" s="83">
        <f>SUM(E28)</f>
        <v>1671.6</v>
      </c>
      <c r="F29" s="83"/>
    </row>
    <row r="31" spans="1:12" x14ac:dyDescent="0.15">
      <c r="A31" s="147" t="str">
        <f>'VariablesINPUT-FCC'!B37</f>
        <v>Inclusion Materials</v>
      </c>
      <c r="B31" s="1" t="str">
        <f>B27</f>
        <v>Licensing</v>
      </c>
      <c r="C31" s="1" t="str">
        <f t="shared" ref="C31:E31" si="4">C27</f>
        <v>Point 2</v>
      </c>
      <c r="D31" s="1" t="str">
        <f t="shared" si="4"/>
        <v>Point 3</v>
      </c>
      <c r="E31" s="1" t="str">
        <f t="shared" si="4"/>
        <v>Point 4</v>
      </c>
      <c r="F31" s="1"/>
    </row>
    <row r="32" spans="1:12" x14ac:dyDescent="0.15">
      <c r="A32" s="15" t="s">
        <v>214</v>
      </c>
      <c r="D32" s="26"/>
      <c r="E32" s="220">
        <f>'VariablesINPUT-FCC'!D38*250</f>
        <v>0</v>
      </c>
      <c r="G32" s="15" t="s">
        <v>247</v>
      </c>
    </row>
    <row r="33" spans="1:6" x14ac:dyDescent="0.15">
      <c r="A33" s="81" t="s">
        <v>9</v>
      </c>
      <c r="B33" s="85"/>
      <c r="C33" s="85"/>
      <c r="D33" s="83">
        <f>SUM(D32:D32)</f>
        <v>0</v>
      </c>
      <c r="E33" s="83">
        <f>SUM(E32:E32)</f>
        <v>0</v>
      </c>
      <c r="F33" s="83"/>
    </row>
  </sheetData>
  <sheetProtection algorithmName="SHA-512" hashValue="w17tkv8+HKvTlZXxjO2kYU8cI9O3NaZMulTPg4uluYyPbHNMVC1PSBh+p1EV/t4/87TXphZ5Piuury9UjDvEBQ==" saltValue="ZV3ailzydxVS5y9hqjNgbQ=="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tint="-0.14999847407452621"/>
  </sheetPr>
  <dimension ref="A1:G42"/>
  <sheetViews>
    <sheetView workbookViewId="0"/>
  </sheetViews>
  <sheetFormatPr baseColWidth="10" defaultColWidth="8.83203125" defaultRowHeight="13" x14ac:dyDescent="0.15"/>
  <cols>
    <col min="1" max="1" width="22.83203125" customWidth="1"/>
    <col min="2" max="2" width="19.83203125" customWidth="1"/>
    <col min="3" max="3" width="16.6640625" customWidth="1"/>
    <col min="4" max="4" width="16.1640625" customWidth="1"/>
    <col min="5" max="5" width="10.5" bestFit="1" customWidth="1"/>
    <col min="6" max="6" width="11.5" bestFit="1" customWidth="1"/>
    <col min="7" max="7" width="10.5" bestFit="1" customWidth="1"/>
  </cols>
  <sheetData>
    <row r="1" spans="1:7" ht="29.25" customHeight="1" x14ac:dyDescent="0.15">
      <c r="A1" s="1" t="s">
        <v>63</v>
      </c>
      <c r="B1" s="31" t="s">
        <v>45</v>
      </c>
      <c r="C1" s="15"/>
      <c r="D1" s="1" t="s">
        <v>180</v>
      </c>
    </row>
    <row r="2" spans="1:7" x14ac:dyDescent="0.15">
      <c r="D2" t="s">
        <v>13</v>
      </c>
      <c r="E2" s="339">
        <f>983/3</f>
        <v>327.66666666666669</v>
      </c>
    </row>
    <row r="3" spans="1:7" x14ac:dyDescent="0.15">
      <c r="D3" t="s">
        <v>189</v>
      </c>
      <c r="E3" s="339">
        <f>3435/3</f>
        <v>1145</v>
      </c>
    </row>
    <row r="4" spans="1:7" s="30" customFormat="1" ht="24" customHeight="1" x14ac:dyDescent="0.15">
      <c r="A4" s="65" t="s">
        <v>39</v>
      </c>
      <c r="B4" s="56">
        <v>148.80000000000001</v>
      </c>
      <c r="D4" s="30" t="s">
        <v>190</v>
      </c>
      <c r="E4" s="340">
        <f>2396/3</f>
        <v>798.66666666666663</v>
      </c>
    </row>
    <row r="5" spans="1:7" s="30" customFormat="1" x14ac:dyDescent="0.15">
      <c r="A5" s="56" t="s">
        <v>46</v>
      </c>
      <c r="B5" s="56">
        <v>247.99</v>
      </c>
    </row>
    <row r="6" spans="1:7" s="30" customFormat="1" x14ac:dyDescent="0.15">
      <c r="A6" s="23" t="s">
        <v>47</v>
      </c>
      <c r="B6" s="23">
        <v>297.58999999999997</v>
      </c>
    </row>
    <row r="7" spans="1:7" s="30" customFormat="1" x14ac:dyDescent="0.15">
      <c r="A7" s="56" t="s">
        <v>48</v>
      </c>
      <c r="B7" s="56">
        <v>446.39</v>
      </c>
    </row>
    <row r="8" spans="1:7" s="30" customFormat="1" x14ac:dyDescent="0.15">
      <c r="A8" s="66" t="s">
        <v>65</v>
      </c>
      <c r="B8" s="66">
        <v>120</v>
      </c>
    </row>
    <row r="9" spans="1:7" s="30" customFormat="1" x14ac:dyDescent="0.15">
      <c r="A9" s="66" t="s">
        <v>49</v>
      </c>
      <c r="B9" s="66">
        <v>595.17999999999995</v>
      </c>
    </row>
    <row r="10" spans="1:7" s="30" customFormat="1" x14ac:dyDescent="0.15">
      <c r="A10" s="66" t="s">
        <v>50</v>
      </c>
      <c r="B10" s="66">
        <v>178.55</v>
      </c>
    </row>
    <row r="11" spans="1:7" s="30" customFormat="1" x14ac:dyDescent="0.15">
      <c r="A11" s="66" t="s">
        <v>51</v>
      </c>
      <c r="B11" s="66">
        <v>238.07</v>
      </c>
    </row>
    <row r="12" spans="1:7" s="30" customFormat="1" x14ac:dyDescent="0.15">
      <c r="A12" s="66" t="s">
        <v>38</v>
      </c>
      <c r="B12" s="66">
        <v>446.39</v>
      </c>
      <c r="C12" s="368"/>
    </row>
    <row r="13" spans="1:7" s="30" customFormat="1" x14ac:dyDescent="0.15">
      <c r="A13" s="66" t="s">
        <v>52</v>
      </c>
      <c r="B13" s="66">
        <v>4761.46</v>
      </c>
      <c r="C13" s="58"/>
      <c r="D13" s="58"/>
      <c r="E13" s="58"/>
      <c r="F13" s="58"/>
      <c r="G13" s="58"/>
    </row>
    <row r="14" spans="1:7" s="30" customFormat="1" x14ac:dyDescent="0.15">
      <c r="A14" s="66" t="s">
        <v>53</v>
      </c>
      <c r="B14" s="66">
        <v>892.77</v>
      </c>
      <c r="C14" s="55"/>
      <c r="D14" s="58"/>
      <c r="E14" s="58"/>
      <c r="F14" s="58"/>
      <c r="G14" s="58"/>
    </row>
    <row r="15" spans="1:7" s="30" customFormat="1" x14ac:dyDescent="0.15">
      <c r="A15" s="66" t="s">
        <v>12</v>
      </c>
      <c r="B15" s="66">
        <v>250</v>
      </c>
      <c r="C15" s="55"/>
      <c r="D15" s="67"/>
      <c r="E15" s="67"/>
      <c r="F15" s="67"/>
      <c r="G15" s="67"/>
    </row>
    <row r="16" spans="1:7" s="30" customFormat="1" x14ac:dyDescent="0.15">
      <c r="A16" s="23" t="s">
        <v>54</v>
      </c>
      <c r="B16" s="30">
        <v>99.2</v>
      </c>
      <c r="C16" s="55"/>
      <c r="D16" s="69"/>
      <c r="E16" s="69"/>
      <c r="F16" s="69"/>
      <c r="G16" s="69"/>
    </row>
    <row r="17" spans="1:7" s="30" customFormat="1" x14ac:dyDescent="0.15">
      <c r="A17" s="66" t="s">
        <v>55</v>
      </c>
      <c r="B17" s="68">
        <v>99.2</v>
      </c>
      <c r="C17" s="55"/>
      <c r="D17" s="58"/>
      <c r="E17" s="58"/>
      <c r="F17" s="58"/>
      <c r="G17" s="58"/>
    </row>
    <row r="18" spans="1:7" s="30" customFormat="1" x14ac:dyDescent="0.15">
      <c r="B18" s="68"/>
      <c r="C18" s="58"/>
      <c r="D18" s="58"/>
      <c r="E18" s="58"/>
      <c r="F18" s="58"/>
      <c r="G18" s="58"/>
    </row>
    <row r="19" spans="1:7" s="30" customFormat="1" x14ac:dyDescent="0.15">
      <c r="A19" s="66" t="s">
        <v>56</v>
      </c>
      <c r="B19" s="66">
        <v>11903.64</v>
      </c>
      <c r="C19" s="67"/>
      <c r="D19" s="67"/>
      <c r="E19" s="67"/>
      <c r="F19" s="67"/>
      <c r="G19" s="67"/>
    </row>
    <row r="20" spans="1:7" s="30" customFormat="1" x14ac:dyDescent="0.15">
      <c r="A20" s="66" t="s">
        <v>14</v>
      </c>
      <c r="B20" s="66">
        <v>669.58</v>
      </c>
      <c r="C20" s="69"/>
      <c r="D20" s="69"/>
      <c r="E20" s="69"/>
      <c r="F20" s="69"/>
      <c r="G20" s="69"/>
    </row>
    <row r="21" spans="1:7" x14ac:dyDescent="0.15">
      <c r="A21" s="66" t="s">
        <v>57</v>
      </c>
      <c r="B21" s="66">
        <v>495.99</v>
      </c>
      <c r="C21" s="55"/>
      <c r="D21" s="58"/>
      <c r="E21" s="58"/>
      <c r="F21" s="58"/>
      <c r="G21" s="58"/>
    </row>
    <row r="22" spans="1:7" x14ac:dyDescent="0.15">
      <c r="A22" s="68" t="s">
        <v>58</v>
      </c>
      <c r="B22" s="68">
        <v>1785.55</v>
      </c>
      <c r="C22" s="55"/>
      <c r="D22" s="58"/>
      <c r="E22" s="58"/>
      <c r="F22" s="58"/>
      <c r="G22" s="58"/>
    </row>
    <row r="23" spans="1:7" x14ac:dyDescent="0.15">
      <c r="A23" s="68" t="s">
        <v>59</v>
      </c>
      <c r="B23" s="68">
        <v>238.07</v>
      </c>
      <c r="C23" s="30"/>
      <c r="D23" s="30"/>
      <c r="E23" s="30"/>
      <c r="F23" s="30"/>
      <c r="G23" s="30"/>
    </row>
    <row r="24" spans="1:7" x14ac:dyDescent="0.15">
      <c r="A24" s="302" t="s">
        <v>9</v>
      </c>
      <c r="B24" s="57">
        <f>SUM(B19:B23)</f>
        <v>15092.829999999998</v>
      </c>
      <c r="C24" s="30"/>
      <c r="D24" s="30"/>
      <c r="E24" s="30"/>
      <c r="F24" s="30"/>
      <c r="G24" s="30"/>
    </row>
    <row r="25" spans="1:7" x14ac:dyDescent="0.15">
      <c r="C25" s="30"/>
      <c r="D25" s="30"/>
      <c r="E25" s="30"/>
      <c r="F25" s="30"/>
      <c r="G25" s="30"/>
    </row>
    <row r="26" spans="1:7" x14ac:dyDescent="0.15">
      <c r="A26" s="70" t="s">
        <v>60</v>
      </c>
      <c r="B26" s="71">
        <v>75</v>
      </c>
      <c r="C26" s="30"/>
      <c r="D26" s="30"/>
      <c r="E26" s="30"/>
      <c r="F26" s="30"/>
      <c r="G26" s="30"/>
    </row>
    <row r="27" spans="1:7" x14ac:dyDescent="0.15">
      <c r="A27" s="72" t="s">
        <v>61</v>
      </c>
      <c r="B27" s="73">
        <v>1200</v>
      </c>
      <c r="C27" s="30"/>
      <c r="D27" s="30"/>
      <c r="E27" s="30"/>
      <c r="F27" s="30"/>
      <c r="G27" s="30"/>
    </row>
    <row r="28" spans="1:7" ht="12" customHeight="1" x14ac:dyDescent="0.15">
      <c r="A28" s="72" t="s">
        <v>62</v>
      </c>
      <c r="B28" s="301">
        <v>2400</v>
      </c>
      <c r="C28" s="30"/>
      <c r="D28" s="30"/>
      <c r="E28" s="30"/>
      <c r="F28" s="30"/>
      <c r="G28" s="30"/>
    </row>
    <row r="29" spans="1:7" s="30" customFormat="1" x14ac:dyDescent="0.15">
      <c r="A29" s="74" t="s">
        <v>64</v>
      </c>
      <c r="B29" s="299">
        <f>SUM(B26/(24*7)*(B27/B28))</f>
        <v>0.22321428571428573</v>
      </c>
    </row>
    <row r="30" spans="1:7" x14ac:dyDescent="0.15">
      <c r="A30" s="300"/>
      <c r="B30" s="300"/>
      <c r="C30" s="30"/>
      <c r="D30" s="30"/>
      <c r="E30" s="30"/>
      <c r="F30" s="30"/>
      <c r="G30" s="30"/>
    </row>
    <row r="31" spans="1:7" x14ac:dyDescent="0.15">
      <c r="A31" s="18"/>
      <c r="B31" s="18"/>
    </row>
    <row r="32" spans="1:7" x14ac:dyDescent="0.15">
      <c r="A32" s="18" t="s">
        <v>66</v>
      </c>
      <c r="B32" s="18">
        <f>SUM(B4:B17)</f>
        <v>8821.590000000002</v>
      </c>
    </row>
    <row r="33" spans="1:3" x14ac:dyDescent="0.15">
      <c r="A33" s="18" t="s">
        <v>67</v>
      </c>
      <c r="B33" s="18">
        <f>B24*B29</f>
        <v>3368.9352678571427</v>
      </c>
    </row>
    <row r="34" spans="1:3" x14ac:dyDescent="0.15">
      <c r="A34" s="75"/>
      <c r="B34" s="75"/>
    </row>
    <row r="35" spans="1:3" x14ac:dyDescent="0.15">
      <c r="A35" s="6" t="s">
        <v>68</v>
      </c>
      <c r="B35" s="5">
        <f>SUM(B32:B33)</f>
        <v>12190.525267857145</v>
      </c>
      <c r="C35" s="9"/>
    </row>
    <row r="36" spans="1:3" x14ac:dyDescent="0.15">
      <c r="A36" s="5"/>
      <c r="B36" s="5"/>
    </row>
    <row r="37" spans="1:3" ht="14" thickBot="1" x14ac:dyDescent="0.2">
      <c r="A37" s="3"/>
      <c r="B37" s="3"/>
    </row>
    <row r="38" spans="1:3" ht="14" thickTop="1" x14ac:dyDescent="0.15">
      <c r="A38" s="34" t="s">
        <v>69</v>
      </c>
      <c r="B38" s="35">
        <f>SUM(B4,B5,B6,B7,B8,B9,B10,B11,B14,B16,B17)</f>
        <v>3363.7399999999993</v>
      </c>
      <c r="C38" s="319"/>
    </row>
    <row r="39" spans="1:3" x14ac:dyDescent="0.15">
      <c r="A39" s="36" t="s">
        <v>13</v>
      </c>
      <c r="B39" s="37">
        <f>B33</f>
        <v>3368.9352678571427</v>
      </c>
      <c r="C39" s="319"/>
    </row>
    <row r="40" spans="1:3" x14ac:dyDescent="0.15">
      <c r="A40" s="36" t="s">
        <v>70</v>
      </c>
      <c r="B40" s="38">
        <f>SUM(B13,B12,B15)</f>
        <v>5457.85</v>
      </c>
      <c r="C40" s="319">
        <f>B40/6</f>
        <v>909.64166666666677</v>
      </c>
    </row>
    <row r="41" spans="1:3" ht="14" thickBot="1" x14ac:dyDescent="0.2">
      <c r="A41" s="39"/>
      <c r="B41" s="40" t="s">
        <v>71</v>
      </c>
    </row>
    <row r="42" spans="1:3" ht="14" thickTop="1" x14ac:dyDescent="0.15"/>
  </sheetData>
  <pageMargins left="0.75" right="0.75" top="1" bottom="1" header="0.5" footer="0.5"/>
  <pageSetup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241F6-8027-B04A-AE54-122367FE2998}">
  <sheetPr codeName="Sheet5">
    <tabColor theme="0" tint="-0.14999847407452621"/>
  </sheetPr>
  <dimension ref="A1:F54"/>
  <sheetViews>
    <sheetView workbookViewId="0"/>
  </sheetViews>
  <sheetFormatPr baseColWidth="10" defaultRowHeight="13" x14ac:dyDescent="0.15"/>
  <cols>
    <col min="1" max="1" width="22.6640625" customWidth="1"/>
    <col min="2" max="2" width="12" bestFit="1" customWidth="1"/>
    <col min="3" max="3" width="13.1640625" customWidth="1"/>
    <col min="4" max="4" width="14" customWidth="1"/>
    <col min="5" max="5" width="15.5" customWidth="1"/>
    <col min="6" max="6" width="10.1640625" customWidth="1"/>
    <col min="7" max="7" width="14" customWidth="1"/>
    <col min="8" max="8" width="11.1640625" bestFit="1" customWidth="1"/>
  </cols>
  <sheetData>
    <row r="1" spans="1:6" x14ac:dyDescent="0.15">
      <c r="A1" s="1"/>
    </row>
    <row r="2" spans="1:6" x14ac:dyDescent="0.15">
      <c r="A2" s="322" t="s">
        <v>215</v>
      </c>
      <c r="B2" s="49" t="s">
        <v>184</v>
      </c>
      <c r="C2" s="49" t="s">
        <v>25</v>
      </c>
      <c r="D2" s="49" t="s">
        <v>170</v>
      </c>
      <c r="E2" s="318" t="s">
        <v>183</v>
      </c>
    </row>
    <row r="3" spans="1:6" x14ac:dyDescent="0.15">
      <c r="A3" s="53" t="s">
        <v>259</v>
      </c>
      <c r="B3" s="209">
        <v>52416</v>
      </c>
      <c r="C3" s="209">
        <v>52416</v>
      </c>
      <c r="D3" s="210">
        <v>24960</v>
      </c>
      <c r="E3" s="364"/>
    </row>
    <row r="4" spans="1:6" x14ac:dyDescent="0.15">
      <c r="A4" s="79" t="str">
        <f>'VariablesINPUT-FCC'!B21</f>
        <v>Entry</v>
      </c>
      <c r="B4" s="209">
        <v>35880</v>
      </c>
      <c r="C4" s="209">
        <v>35880</v>
      </c>
      <c r="D4" s="210">
        <v>31200</v>
      </c>
      <c r="E4" s="9">
        <v>10.5</v>
      </c>
      <c r="F4" s="15"/>
    </row>
    <row r="5" spans="1:6" x14ac:dyDescent="0.15">
      <c r="A5" s="79" t="str">
        <f>'VariablesINPUT-FCC'!B22</f>
        <v>Level 1</v>
      </c>
      <c r="B5" s="211">
        <v>49100</v>
      </c>
      <c r="C5" s="209">
        <v>44600</v>
      </c>
      <c r="D5" s="210">
        <v>40560</v>
      </c>
      <c r="F5" s="15"/>
    </row>
    <row r="6" spans="1:6" x14ac:dyDescent="0.15">
      <c r="A6" s="79" t="str">
        <f>'VariablesINPUT-FCC'!B23</f>
        <v>Level 2</v>
      </c>
      <c r="B6" s="209">
        <v>63800</v>
      </c>
      <c r="C6" s="209">
        <v>58000</v>
      </c>
      <c r="D6" s="210">
        <v>52700</v>
      </c>
    </row>
    <row r="7" spans="1:6" x14ac:dyDescent="0.15">
      <c r="A7" s="79" t="str">
        <f>'VariablesINPUT-FCC'!B24</f>
        <v>Level 3</v>
      </c>
      <c r="B7" s="209">
        <v>73300</v>
      </c>
      <c r="C7" s="209">
        <v>66700</v>
      </c>
      <c r="D7" s="210">
        <v>60600</v>
      </c>
    </row>
    <row r="8" spans="1:6" x14ac:dyDescent="0.15">
      <c r="A8" s="79" t="str">
        <f>'VariablesINPUT-FCC'!B25</f>
        <v>Level 4</v>
      </c>
      <c r="B8" s="208">
        <v>84150</v>
      </c>
      <c r="C8" s="208">
        <v>76500</v>
      </c>
      <c r="D8" s="154">
        <v>60600</v>
      </c>
    </row>
    <row r="9" spans="1:6" x14ac:dyDescent="0.15">
      <c r="A9" s="51"/>
      <c r="B9" s="88"/>
      <c r="C9" s="89"/>
      <c r="D9" s="30"/>
    </row>
    <row r="10" spans="1:6" x14ac:dyDescent="0.15">
      <c r="A10" s="51" t="s">
        <v>88</v>
      </c>
      <c r="B10" s="88">
        <f>('VariablesINPUT-FCC'!C$20*B3)+('VariablesINPUT-FCC'!C$21*B4)+('VariablesINPUT-FCC'!C$22*B5)+('VariablesINPUT-FCC'!C$23*B6)+('VariablesINPUT-FCC'!C$24*B7)+('VariablesINPUT-FCC'!C$25*B8)</f>
        <v>35880</v>
      </c>
      <c r="C10" s="26">
        <f>(('VariablesINPUT-FCC'!C$20*C3)+('VariablesINPUT-FCC'!C$21*C4)+('VariablesINPUT-FCC'!C$22*C5)+('VariablesINPUT-FCC'!C$23*C6)+('VariablesINPUT-FCC'!C$24*C7)+('VariablesINPUT-FCC'!C$25*C8))</f>
        <v>35880</v>
      </c>
      <c r="D10" s="26">
        <f>((('VariablesINPUT-FCC'!D$20*D3)+('VariablesINPUT-FCC'!D$21*D4)+('VariablesINPUT-FCC'!D$22*D5)+('VariablesINPUT-FCC'!D$23*D6)+('VariablesINPUT-FCC'!D$24*D7)+('VariablesINPUT-FCC'!D$25*D8)))</f>
        <v>24960</v>
      </c>
    </row>
    <row r="11" spans="1:6" x14ac:dyDescent="0.15">
      <c r="A11" s="4"/>
    </row>
    <row r="12" spans="1:6" hidden="1" x14ac:dyDescent="0.15">
      <c r="A12" s="24"/>
      <c r="B12" s="26"/>
      <c r="C12" s="26"/>
      <c r="D12" s="26"/>
    </row>
    <row r="13" spans="1:6" hidden="1" x14ac:dyDescent="0.15">
      <c r="A13" s="1" t="s">
        <v>77</v>
      </c>
      <c r="B13" s="1"/>
      <c r="C13" s="1"/>
      <c r="D13" s="1"/>
    </row>
    <row r="14" spans="1:6" hidden="1" x14ac:dyDescent="0.15">
      <c r="B14" s="49" t="s">
        <v>184</v>
      </c>
      <c r="C14" s="49" t="s">
        <v>25</v>
      </c>
      <c r="D14" s="49" t="s">
        <v>170</v>
      </c>
    </row>
    <row r="15" spans="1:6" hidden="1" x14ac:dyDescent="0.15">
      <c r="A15" s="323" t="str">
        <f>A4</f>
        <v>Entry</v>
      </c>
      <c r="B15" s="326"/>
      <c r="C15" s="208"/>
      <c r="D15" s="154"/>
    </row>
    <row r="16" spans="1:6" hidden="1" x14ac:dyDescent="0.15">
      <c r="A16" s="323" t="str">
        <f t="shared" ref="A16:A19" si="0">A5</f>
        <v>Level 1</v>
      </c>
      <c r="B16" s="324"/>
      <c r="C16" s="208">
        <f t="shared" ref="C16:C19" si="1">B16*0.8</f>
        <v>0</v>
      </c>
      <c r="D16" s="154"/>
    </row>
    <row r="17" spans="1:6" hidden="1" x14ac:dyDescent="0.15">
      <c r="A17" s="323" t="str">
        <f t="shared" si="0"/>
        <v>Level 2</v>
      </c>
      <c r="B17" s="324"/>
      <c r="C17" s="208">
        <f t="shared" si="1"/>
        <v>0</v>
      </c>
      <c r="D17" s="154"/>
    </row>
    <row r="18" spans="1:6" hidden="1" x14ac:dyDescent="0.15">
      <c r="A18" s="323" t="str">
        <f t="shared" si="0"/>
        <v>Level 3</v>
      </c>
      <c r="B18" s="324"/>
      <c r="C18" s="208">
        <f t="shared" si="1"/>
        <v>0</v>
      </c>
      <c r="D18" s="154"/>
    </row>
    <row r="19" spans="1:6" hidden="1" x14ac:dyDescent="0.15">
      <c r="A19" s="323" t="str">
        <f t="shared" si="0"/>
        <v>Level 4</v>
      </c>
      <c r="B19" s="324"/>
      <c r="C19" s="208">
        <f t="shared" si="1"/>
        <v>0</v>
      </c>
      <c r="D19" s="154"/>
    </row>
    <row r="20" spans="1:6" hidden="1" x14ac:dyDescent="0.15">
      <c r="A20" s="325"/>
      <c r="B20" s="88"/>
      <c r="C20" s="89"/>
    </row>
    <row r="21" spans="1:6" hidden="1" x14ac:dyDescent="0.15">
      <c r="A21" s="24" t="s">
        <v>88</v>
      </c>
      <c r="B21" s="88">
        <f>('VariablesINPUT-FCC'!C$21*B15)+('VariablesINPUT-FCC'!C$22*B16)+('VariablesINPUT-FCC'!C$23*B17)+('VariablesINPUT-FCC'!C$24*B18)+('VariablesINPUT-FCC'!C$25*B19)</f>
        <v>0</v>
      </c>
      <c r="C21" s="26">
        <f>(('VariablesINPUT-FCC'!C$21*C15)+('VariablesINPUT-FCC'!C$22*C16)+('VariablesINPUT-FCC'!C$23*C17)+('VariablesINPUT-FCC'!C$24*C18)+('VariablesINPUT-FCC'!C$25*C19))</f>
        <v>0</v>
      </c>
      <c r="D21" s="26">
        <f>(('VariablesINPUT-FCC'!D$21*D15)+('VariablesINPUT-FCC'!D$22*D16)+('VariablesINPUT-FCC'!D$23*D17)+('VariablesINPUT-FCC'!D$24*D18)+('VariablesINPUT-FCC'!D$25*D19))</f>
        <v>0</v>
      </c>
    </row>
    <row r="22" spans="1:6" hidden="1" x14ac:dyDescent="0.15"/>
    <row r="23" spans="1:6" hidden="1" x14ac:dyDescent="0.15">
      <c r="A23" s="1" t="s">
        <v>197</v>
      </c>
      <c r="B23" s="1"/>
      <c r="C23" s="1"/>
      <c r="D23" s="1"/>
    </row>
    <row r="24" spans="1:6" hidden="1" x14ac:dyDescent="0.15">
      <c r="A24" s="322"/>
      <c r="B24" s="49" t="s">
        <v>184</v>
      </c>
      <c r="C24" s="49" t="s">
        <v>25</v>
      </c>
      <c r="D24" s="49" t="s">
        <v>170</v>
      </c>
    </row>
    <row r="25" spans="1:6" hidden="1" x14ac:dyDescent="0.15">
      <c r="A25" s="323" t="str">
        <f>A15</f>
        <v>Entry</v>
      </c>
      <c r="B25" s="209"/>
      <c r="C25" s="209"/>
      <c r="D25" s="210">
        <v>29120</v>
      </c>
    </row>
    <row r="26" spans="1:6" hidden="1" x14ac:dyDescent="0.15">
      <c r="A26" s="323" t="str">
        <f t="shared" ref="A26:A29" si="2">A16</f>
        <v>Level 1</v>
      </c>
      <c r="B26" s="211">
        <v>37856</v>
      </c>
      <c r="C26" s="211">
        <f>B26</f>
        <v>37856</v>
      </c>
      <c r="D26" s="210">
        <v>33280</v>
      </c>
      <c r="F26" s="343"/>
    </row>
    <row r="27" spans="1:6" hidden="1" x14ac:dyDescent="0.15">
      <c r="A27" s="323" t="str">
        <f t="shared" si="2"/>
        <v>Level 2</v>
      </c>
      <c r="B27" s="209">
        <v>45201.599999999999</v>
      </c>
      <c r="C27" s="211">
        <f>B27</f>
        <v>45201.599999999999</v>
      </c>
      <c r="D27" s="210">
        <v>39514.36</v>
      </c>
    </row>
    <row r="28" spans="1:6" hidden="1" x14ac:dyDescent="0.15">
      <c r="A28" s="323" t="str">
        <f t="shared" si="2"/>
        <v>Level 3</v>
      </c>
      <c r="B28" s="209">
        <v>51136.800000000003</v>
      </c>
      <c r="C28" s="211">
        <f>B28</f>
        <v>51136.800000000003</v>
      </c>
      <c r="D28" s="210">
        <v>44815.51</v>
      </c>
    </row>
    <row r="29" spans="1:6" hidden="1" x14ac:dyDescent="0.15">
      <c r="A29" s="323" t="str">
        <f t="shared" si="2"/>
        <v>Level 4</v>
      </c>
      <c r="B29" s="208"/>
      <c r="C29" s="208"/>
      <c r="D29" s="154"/>
    </row>
    <row r="30" spans="1:6" hidden="1" x14ac:dyDescent="0.15">
      <c r="A30" s="325"/>
      <c r="B30" s="88"/>
      <c r="C30" s="89"/>
    </row>
    <row r="31" spans="1:6" hidden="1" x14ac:dyDescent="0.15">
      <c r="A31" s="24" t="s">
        <v>88</v>
      </c>
      <c r="B31" s="88">
        <f>('VariablesINPUT-FCC'!C$21*B25)+('VariablesINPUT-FCC'!C$22*B26)+('VariablesINPUT-FCC'!C$23*B27)+('VariablesINPUT-FCC'!C$24*B28)+('VariablesINPUT-FCC'!C$25*B29)</f>
        <v>0</v>
      </c>
      <c r="C31" s="26">
        <f>(('VariablesINPUT-FCC'!C$21*C25)+('VariablesINPUT-FCC'!C$22*C26)+('VariablesINPUT-FCC'!C$23*C27)+('VariablesINPUT-FCC'!C$24*C28)+('VariablesINPUT-FCC'!C$25*C29))</f>
        <v>0</v>
      </c>
      <c r="D31" s="26">
        <f>(('VariablesINPUT-FCC'!D$21*D25)+('VariablesINPUT-FCC'!D$22*D26)+('VariablesINPUT-FCC'!D$23*D27)+('VariablesINPUT-FCC'!D$24*D28)+('VariablesINPUT-FCC'!D$25*D29))</f>
        <v>0</v>
      </c>
    </row>
    <row r="32" spans="1:6" hidden="1" x14ac:dyDescent="0.15">
      <c r="A32" s="24"/>
      <c r="B32" s="24"/>
      <c r="C32" s="24"/>
      <c r="D32" s="24"/>
    </row>
    <row r="33" spans="1:4" hidden="1" x14ac:dyDescent="0.15">
      <c r="A33" s="1" t="s">
        <v>198</v>
      </c>
      <c r="B33" s="1"/>
      <c r="C33" s="1"/>
      <c r="D33" s="1"/>
    </row>
    <row r="34" spans="1:4" hidden="1" x14ac:dyDescent="0.15">
      <c r="A34" s="327"/>
      <c r="B34" s="49" t="s">
        <v>184</v>
      </c>
      <c r="C34" s="49" t="s">
        <v>25</v>
      </c>
      <c r="D34" s="49" t="s">
        <v>170</v>
      </c>
    </row>
    <row r="35" spans="1:4" hidden="1" x14ac:dyDescent="0.15">
      <c r="A35" s="323" t="str">
        <f>A25</f>
        <v>Entry</v>
      </c>
      <c r="B35" s="209"/>
      <c r="C35" s="209"/>
      <c r="D35" s="210">
        <v>41600</v>
      </c>
    </row>
    <row r="36" spans="1:4" hidden="1" x14ac:dyDescent="0.15">
      <c r="A36" s="323" t="str">
        <f t="shared" ref="A36:A39" si="3">A26</f>
        <v>Level 1</v>
      </c>
      <c r="B36" s="211">
        <v>45599.199999999997</v>
      </c>
      <c r="C36" s="211">
        <f>B36</f>
        <v>45599.199999999997</v>
      </c>
      <c r="D36" s="210">
        <v>45021.599999999999</v>
      </c>
    </row>
    <row r="37" spans="1:4" hidden="1" x14ac:dyDescent="0.15">
      <c r="A37" s="323" t="str">
        <f t="shared" si="3"/>
        <v>Level 2</v>
      </c>
      <c r="B37" s="209">
        <v>62379.199999999997</v>
      </c>
      <c r="C37" s="211">
        <f>B37</f>
        <v>62379.199999999997</v>
      </c>
      <c r="D37" s="210">
        <v>53126.71</v>
      </c>
    </row>
    <row r="38" spans="1:4" hidden="1" x14ac:dyDescent="0.15">
      <c r="A38" s="323" t="str">
        <f t="shared" si="3"/>
        <v>Level 3</v>
      </c>
      <c r="B38" s="209">
        <v>72072</v>
      </c>
      <c r="C38" s="211">
        <f>B38</f>
        <v>72072</v>
      </c>
      <c r="D38" s="210">
        <v>57291.27</v>
      </c>
    </row>
    <row r="39" spans="1:4" hidden="1" x14ac:dyDescent="0.15">
      <c r="A39" s="323" t="str">
        <f t="shared" si="3"/>
        <v>Level 4</v>
      </c>
      <c r="B39" s="328"/>
      <c r="C39" s="211">
        <f>B39</f>
        <v>0</v>
      </c>
      <c r="D39" s="210"/>
    </row>
    <row r="40" spans="1:4" hidden="1" x14ac:dyDescent="0.15">
      <c r="A40" s="325"/>
      <c r="B40" s="88"/>
      <c r="C40" s="89"/>
    </row>
    <row r="41" spans="1:4" hidden="1" x14ac:dyDescent="0.15">
      <c r="A41" s="24" t="s">
        <v>88</v>
      </c>
      <c r="B41" s="88">
        <f>('VariablesINPUT-FCC'!C$21*B35)+('VariablesINPUT-FCC'!C$22*B36)+('VariablesINPUT-FCC'!C$23*B37)+('VariablesINPUT-FCC'!C$24*B38)+('VariablesINPUT-FCC'!C$25*B39)</f>
        <v>0</v>
      </c>
      <c r="C41" s="26">
        <f>(('VariablesINPUT-FCC'!C$21*C35)+('VariablesINPUT-FCC'!C$22*C36)+('VariablesINPUT-FCC'!C$23*C37)+('VariablesINPUT-FCC'!C$24*C38)+('VariablesINPUT-FCC'!C$25*C39))</f>
        <v>0</v>
      </c>
      <c r="D41" s="26">
        <f>(('VariablesINPUT-FCC'!D$21*D35)+('VariablesINPUT-FCC'!D$22*D36)+('VariablesINPUT-FCC'!D$23*D37)+('VariablesINPUT-FCC'!D$24*D38)+('VariablesINPUT-FCC'!D$25*D39))</f>
        <v>0</v>
      </c>
    </row>
    <row r="42" spans="1:4" hidden="1" x14ac:dyDescent="0.15"/>
    <row r="43" spans="1:4" hidden="1" x14ac:dyDescent="0.15">
      <c r="A43" s="1" t="s">
        <v>79</v>
      </c>
      <c r="B43" s="1"/>
      <c r="C43" s="1"/>
      <c r="D43" s="1"/>
    </row>
    <row r="44" spans="1:4" hidden="1" x14ac:dyDescent="0.15">
      <c r="A44" s="327"/>
      <c r="B44" s="49" t="s">
        <v>184</v>
      </c>
      <c r="C44" s="49" t="s">
        <v>25</v>
      </c>
      <c r="D44" s="49" t="s">
        <v>170</v>
      </c>
    </row>
    <row r="45" spans="1:4" hidden="1" x14ac:dyDescent="0.15">
      <c r="A45" s="323" t="str">
        <f>A35</f>
        <v>Entry</v>
      </c>
      <c r="B45" s="209"/>
      <c r="C45" s="209"/>
      <c r="D45" s="210">
        <v>41600</v>
      </c>
    </row>
    <row r="46" spans="1:4" hidden="1" x14ac:dyDescent="0.15">
      <c r="A46" s="323" t="str">
        <f t="shared" ref="A46:A49" si="4">A36</f>
        <v>Level 1</v>
      </c>
      <c r="B46" s="211">
        <v>45599.199999999997</v>
      </c>
      <c r="C46" s="211">
        <f>B46</f>
        <v>45599.199999999997</v>
      </c>
      <c r="D46" s="210">
        <v>45021.599999999999</v>
      </c>
    </row>
    <row r="47" spans="1:4" hidden="1" x14ac:dyDescent="0.15">
      <c r="A47" s="323" t="str">
        <f t="shared" si="4"/>
        <v>Level 2</v>
      </c>
      <c r="B47" s="209">
        <v>62379.199999999997</v>
      </c>
      <c r="C47" s="211">
        <f>B47</f>
        <v>62379.199999999997</v>
      </c>
      <c r="D47" s="210">
        <v>53126.71</v>
      </c>
    </row>
    <row r="48" spans="1:4" hidden="1" x14ac:dyDescent="0.15">
      <c r="A48" s="323" t="str">
        <f t="shared" si="4"/>
        <v>Level 3</v>
      </c>
      <c r="B48" s="209">
        <v>72072</v>
      </c>
      <c r="C48" s="211">
        <f>B48</f>
        <v>72072</v>
      </c>
      <c r="D48" s="210">
        <v>57291.27</v>
      </c>
    </row>
    <row r="49" spans="1:4" hidden="1" x14ac:dyDescent="0.15">
      <c r="A49" s="323" t="str">
        <f t="shared" si="4"/>
        <v>Level 4</v>
      </c>
      <c r="B49" s="328"/>
      <c r="C49" s="211">
        <f>B49</f>
        <v>0</v>
      </c>
      <c r="D49" s="210"/>
    </row>
    <row r="50" spans="1:4" hidden="1" x14ac:dyDescent="0.15">
      <c r="A50" s="325"/>
      <c r="B50" s="88"/>
      <c r="C50" s="89"/>
    </row>
    <row r="51" spans="1:4" hidden="1" x14ac:dyDescent="0.15">
      <c r="A51" s="24" t="s">
        <v>88</v>
      </c>
      <c r="B51" s="88">
        <f>('VariablesINPUT-FCC'!C$21*B45)+('VariablesINPUT-FCC'!C$22*B46)+('VariablesINPUT-FCC'!C$23*B47)+('VariablesINPUT-FCC'!C$24*B48)+('VariablesINPUT-FCC'!C$25*B49)</f>
        <v>0</v>
      </c>
      <c r="C51" s="26">
        <f>(('VariablesINPUT-FCC'!C$21*C45)+('VariablesINPUT-FCC'!C$22*C46)+('VariablesINPUT-FCC'!C$23*C47)+('VariablesINPUT-FCC'!C$24*C48)+('VariablesINPUT-FCC'!C$25*C49))</f>
        <v>0</v>
      </c>
      <c r="D51" s="26">
        <f>(('VariablesINPUT-FCC'!D$21*D45)+('VariablesINPUT-FCC'!D$22*D46)+('VariablesINPUT-FCC'!D$23*D47)+('VariablesINPUT-FCC'!D$24*D48)+('VariablesINPUT-FCC'!D$25*D49))</f>
        <v>0</v>
      </c>
    </row>
    <row r="52" spans="1:4" hidden="1" x14ac:dyDescent="0.15"/>
    <row r="53" spans="1:4" hidden="1" x14ac:dyDescent="0.15"/>
    <row r="54" spans="1:4" hidden="1" x14ac:dyDescent="0.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1D05-AC5F-4748-9C6A-505C6B8C3600}">
  <sheetPr codeName="Sheet6">
    <tabColor theme="5"/>
  </sheetPr>
  <dimension ref="A1:E26"/>
  <sheetViews>
    <sheetView workbookViewId="0"/>
  </sheetViews>
  <sheetFormatPr baseColWidth="10" defaultRowHeight="13" x14ac:dyDescent="0.15"/>
  <cols>
    <col min="1" max="3" width="12.5" customWidth="1"/>
  </cols>
  <sheetData>
    <row r="1" spans="1:5" x14ac:dyDescent="0.15">
      <c r="A1" s="53" t="s">
        <v>217</v>
      </c>
      <c r="B1" s="349" t="s">
        <v>216</v>
      </c>
      <c r="C1" s="350"/>
      <c r="D1" s="351"/>
      <c r="E1" s="352"/>
    </row>
    <row r="2" spans="1:5" x14ac:dyDescent="0.15">
      <c r="A2" s="53"/>
      <c r="B2" s="353" t="s">
        <v>220</v>
      </c>
      <c r="C2" s="354" t="s">
        <v>224</v>
      </c>
      <c r="D2" s="353" t="s">
        <v>11</v>
      </c>
      <c r="E2" s="354" t="s">
        <v>224</v>
      </c>
    </row>
    <row r="3" spans="1:5" x14ac:dyDescent="0.15">
      <c r="A3" s="355" t="s">
        <v>221</v>
      </c>
      <c r="B3" s="356">
        <v>28.88</v>
      </c>
      <c r="C3" s="357">
        <v>30.28</v>
      </c>
      <c r="D3" s="358">
        <f>B3*5*52/12</f>
        <v>625.73333333333335</v>
      </c>
      <c r="E3" s="358">
        <f>C3*5*52/12</f>
        <v>656.06666666666672</v>
      </c>
    </row>
    <row r="4" spans="1:5" x14ac:dyDescent="0.15">
      <c r="A4" s="359" t="s">
        <v>222</v>
      </c>
      <c r="B4" s="356">
        <v>26.6</v>
      </c>
      <c r="C4" s="357">
        <v>30.28</v>
      </c>
      <c r="D4" s="358">
        <f t="shared" ref="D4:E6" si="0">B4*5*52/12</f>
        <v>576.33333333333337</v>
      </c>
      <c r="E4" s="358">
        <f t="shared" si="0"/>
        <v>656.06666666666672</v>
      </c>
    </row>
    <row r="5" spans="1:5" x14ac:dyDescent="0.15">
      <c r="A5" s="359" t="s">
        <v>223</v>
      </c>
      <c r="B5" s="356">
        <v>25.2</v>
      </c>
      <c r="C5" s="357">
        <v>30.28</v>
      </c>
      <c r="D5" s="358">
        <f t="shared" si="0"/>
        <v>546</v>
      </c>
      <c r="E5" s="358">
        <f t="shared" si="0"/>
        <v>656.06666666666672</v>
      </c>
    </row>
    <row r="6" spans="1:5" x14ac:dyDescent="0.15">
      <c r="A6" s="359" t="s">
        <v>76</v>
      </c>
      <c r="B6" s="356">
        <v>23.4</v>
      </c>
      <c r="C6" s="357">
        <v>24.57</v>
      </c>
      <c r="D6" s="358">
        <f t="shared" si="0"/>
        <v>507</v>
      </c>
      <c r="E6" s="358">
        <f t="shared" si="0"/>
        <v>532.35</v>
      </c>
    </row>
    <row r="7" spans="1:5" x14ac:dyDescent="0.15">
      <c r="A7" s="53"/>
      <c r="B7" s="53"/>
      <c r="C7" s="53"/>
      <c r="D7" s="53"/>
      <c r="E7" s="53"/>
    </row>
    <row r="8" spans="1:5" x14ac:dyDescent="0.15">
      <c r="A8" s="53"/>
      <c r="B8" s="53"/>
      <c r="C8" s="53"/>
      <c r="D8" s="53"/>
      <c r="E8" s="53"/>
    </row>
    <row r="9" spans="1:5" x14ac:dyDescent="0.15">
      <c r="A9" s="53" t="s">
        <v>218</v>
      </c>
      <c r="B9" s="349" t="s">
        <v>216</v>
      </c>
      <c r="C9" s="350"/>
      <c r="D9" s="351"/>
      <c r="E9" s="352"/>
    </row>
    <row r="10" spans="1:5" ht="12" customHeight="1" x14ac:dyDescent="0.15">
      <c r="A10" s="53"/>
      <c r="B10" s="353" t="s">
        <v>220</v>
      </c>
      <c r="C10" s="354" t="s">
        <v>224</v>
      </c>
      <c r="D10" s="353" t="s">
        <v>11</v>
      </c>
      <c r="E10" s="354" t="s">
        <v>224</v>
      </c>
    </row>
    <row r="11" spans="1:5" x14ac:dyDescent="0.15">
      <c r="A11" s="355" t="s">
        <v>33</v>
      </c>
      <c r="B11" s="356">
        <v>24.5</v>
      </c>
      <c r="C11" s="357">
        <v>25.24</v>
      </c>
      <c r="D11" s="358">
        <f>B11*5*52/12</f>
        <v>530.83333333333337</v>
      </c>
      <c r="E11" s="358">
        <f>C11*5*52/12</f>
        <v>546.86666666666667</v>
      </c>
    </row>
    <row r="12" spans="1:5" x14ac:dyDescent="0.15">
      <c r="A12" s="359" t="s">
        <v>34</v>
      </c>
      <c r="B12" s="356">
        <v>22.05</v>
      </c>
      <c r="C12" s="357">
        <v>22.71</v>
      </c>
      <c r="D12" s="358">
        <f t="shared" ref="D12:D14" si="1">B12*5*52/12</f>
        <v>477.75</v>
      </c>
      <c r="E12" s="358">
        <f t="shared" ref="E12:E14" si="2">C12*5*52/12</f>
        <v>492.05</v>
      </c>
    </row>
    <row r="13" spans="1:5" x14ac:dyDescent="0.15">
      <c r="A13" s="359" t="s">
        <v>31</v>
      </c>
      <c r="B13" s="356">
        <v>21</v>
      </c>
      <c r="C13" s="357">
        <v>21.63</v>
      </c>
      <c r="D13" s="358">
        <f t="shared" si="1"/>
        <v>455</v>
      </c>
      <c r="E13" s="358">
        <f t="shared" si="2"/>
        <v>468.64999999999992</v>
      </c>
    </row>
    <row r="14" spans="1:5" x14ac:dyDescent="0.15">
      <c r="A14" s="359" t="s">
        <v>76</v>
      </c>
      <c r="B14" s="356">
        <v>19.5</v>
      </c>
      <c r="C14" s="357">
        <v>20.09</v>
      </c>
      <c r="D14" s="358">
        <f t="shared" si="1"/>
        <v>422.5</v>
      </c>
      <c r="E14" s="358">
        <f t="shared" si="2"/>
        <v>435.28333333333336</v>
      </c>
    </row>
    <row r="15" spans="1:5" x14ac:dyDescent="0.15">
      <c r="A15" s="53"/>
      <c r="B15" s="53"/>
      <c r="C15" s="53"/>
      <c r="D15" s="53"/>
      <c r="E15" s="53"/>
    </row>
    <row r="16" spans="1:5" x14ac:dyDescent="0.15">
      <c r="A16" s="53"/>
      <c r="B16" s="53"/>
      <c r="C16" s="53"/>
      <c r="D16" s="53"/>
      <c r="E16" s="53"/>
    </row>
    <row r="17" spans="1:5" x14ac:dyDescent="0.15">
      <c r="A17" s="53" t="s">
        <v>219</v>
      </c>
      <c r="B17" s="349" t="s">
        <v>216</v>
      </c>
      <c r="C17" s="350"/>
      <c r="D17" s="351"/>
      <c r="E17" s="352"/>
    </row>
    <row r="18" spans="1:5" x14ac:dyDescent="0.15">
      <c r="A18" s="53"/>
      <c r="B18" s="353" t="s">
        <v>220</v>
      </c>
      <c r="C18" s="354" t="s">
        <v>224</v>
      </c>
      <c r="D18" s="353" t="s">
        <v>11</v>
      </c>
      <c r="E18" s="354" t="s">
        <v>224</v>
      </c>
    </row>
    <row r="19" spans="1:5" x14ac:dyDescent="0.15">
      <c r="A19" s="355" t="s">
        <v>33</v>
      </c>
      <c r="B19" s="356">
        <v>24.5</v>
      </c>
      <c r="C19" s="357">
        <v>25.24</v>
      </c>
      <c r="D19" s="358">
        <f>B19*5*52/12</f>
        <v>530.83333333333337</v>
      </c>
      <c r="E19" s="358">
        <f>C19*5*52/12</f>
        <v>546.86666666666667</v>
      </c>
    </row>
    <row r="20" spans="1:5" x14ac:dyDescent="0.15">
      <c r="A20" s="359" t="s">
        <v>34</v>
      </c>
      <c r="B20" s="356">
        <v>22.05</v>
      </c>
      <c r="C20" s="357">
        <v>22.71</v>
      </c>
      <c r="D20" s="358">
        <f t="shared" ref="D20:D22" si="3">B20*5*52/12</f>
        <v>477.75</v>
      </c>
      <c r="E20" s="358">
        <f t="shared" ref="E20:E22" si="4">C20*5*52/12</f>
        <v>492.05</v>
      </c>
    </row>
    <row r="21" spans="1:5" x14ac:dyDescent="0.15">
      <c r="A21" s="359" t="s">
        <v>31</v>
      </c>
      <c r="B21" s="356">
        <v>21</v>
      </c>
      <c r="C21" s="357">
        <v>21.63</v>
      </c>
      <c r="D21" s="358">
        <f t="shared" si="3"/>
        <v>455</v>
      </c>
      <c r="E21" s="358">
        <f t="shared" si="4"/>
        <v>468.64999999999992</v>
      </c>
    </row>
    <row r="22" spans="1:5" x14ac:dyDescent="0.15">
      <c r="A22" s="359" t="s">
        <v>76</v>
      </c>
      <c r="B22" s="356">
        <v>18.2</v>
      </c>
      <c r="C22" s="357">
        <v>19.11</v>
      </c>
      <c r="D22" s="358">
        <f t="shared" si="3"/>
        <v>394.33333333333331</v>
      </c>
      <c r="E22" s="358">
        <f t="shared" si="4"/>
        <v>414.04999999999995</v>
      </c>
    </row>
    <row r="23" spans="1:5" x14ac:dyDescent="0.15">
      <c r="A23" s="53"/>
      <c r="B23" s="53"/>
      <c r="C23" s="53"/>
      <c r="D23" s="53"/>
      <c r="E23" s="53"/>
    </row>
    <row r="25" spans="1:5" x14ac:dyDescent="0.15">
      <c r="A25" s="11" t="s">
        <v>225</v>
      </c>
    </row>
    <row r="26" spans="1:5" x14ac:dyDescent="0.15">
      <c r="A26"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21821-06F8-8244-9E5B-A1101AAC2320}">
  <sheetPr codeName="Sheet7">
    <tabColor theme="5"/>
  </sheetPr>
  <dimension ref="A1:F32"/>
  <sheetViews>
    <sheetView workbookViewId="0"/>
  </sheetViews>
  <sheetFormatPr baseColWidth="10" defaultRowHeight="13" x14ac:dyDescent="0.15"/>
  <sheetData>
    <row r="1" spans="1:6" x14ac:dyDescent="0.15">
      <c r="A1" s="53" t="s">
        <v>217</v>
      </c>
      <c r="B1" s="349" t="s">
        <v>216</v>
      </c>
      <c r="C1" s="350"/>
      <c r="D1" s="351"/>
      <c r="E1" s="352"/>
      <c r="F1" s="15"/>
    </row>
    <row r="2" spans="1:6" x14ac:dyDescent="0.15">
      <c r="A2" s="53"/>
      <c r="B2" s="353" t="s">
        <v>220</v>
      </c>
      <c r="C2" s="354" t="s">
        <v>224</v>
      </c>
      <c r="D2" s="353" t="s">
        <v>11</v>
      </c>
      <c r="E2" s="354" t="s">
        <v>224</v>
      </c>
      <c r="F2" s="11"/>
    </row>
    <row r="3" spans="1:6" x14ac:dyDescent="0.15">
      <c r="A3" s="355" t="s">
        <v>221</v>
      </c>
      <c r="B3" s="356">
        <v>41.25</v>
      </c>
      <c r="C3" s="357"/>
      <c r="D3" s="358">
        <f>B3*5*52/12</f>
        <v>893.75</v>
      </c>
      <c r="E3" s="358">
        <f>C3*5*52/12</f>
        <v>0</v>
      </c>
    </row>
    <row r="4" spans="1:6" x14ac:dyDescent="0.15">
      <c r="A4" s="359" t="s">
        <v>222</v>
      </c>
      <c r="B4" s="356">
        <v>38</v>
      </c>
      <c r="C4" s="357"/>
      <c r="D4" s="358">
        <f t="shared" ref="D4:E6" si="0">B4*5*52/12</f>
        <v>823.33333333333337</v>
      </c>
      <c r="E4" s="358">
        <f t="shared" si="0"/>
        <v>0</v>
      </c>
    </row>
    <row r="5" spans="1:6" x14ac:dyDescent="0.15">
      <c r="A5" s="359" t="s">
        <v>223</v>
      </c>
      <c r="B5" s="356">
        <v>36</v>
      </c>
      <c r="C5" s="357"/>
      <c r="D5" s="358">
        <f t="shared" si="0"/>
        <v>780</v>
      </c>
      <c r="E5" s="358">
        <f t="shared" si="0"/>
        <v>0</v>
      </c>
      <c r="F5" s="15"/>
    </row>
    <row r="6" spans="1:6" x14ac:dyDescent="0.15">
      <c r="A6" s="359" t="s">
        <v>76</v>
      </c>
      <c r="B6" s="356">
        <v>20</v>
      </c>
      <c r="C6" s="357"/>
      <c r="D6" s="358">
        <f t="shared" si="0"/>
        <v>433.33333333333331</v>
      </c>
      <c r="E6" s="358">
        <f t="shared" si="0"/>
        <v>0</v>
      </c>
      <c r="F6" s="15"/>
    </row>
    <row r="7" spans="1:6" x14ac:dyDescent="0.15">
      <c r="A7" s="53"/>
      <c r="B7" s="53"/>
      <c r="C7" s="53"/>
      <c r="D7" s="53"/>
      <c r="E7" s="53"/>
    </row>
    <row r="8" spans="1:6" x14ac:dyDescent="0.15">
      <c r="A8" s="53"/>
      <c r="B8" s="53"/>
      <c r="C8" s="53"/>
      <c r="D8" s="53"/>
      <c r="E8" s="53"/>
    </row>
    <row r="9" spans="1:6" x14ac:dyDescent="0.15">
      <c r="A9" s="53" t="s">
        <v>218</v>
      </c>
      <c r="B9" s="349" t="s">
        <v>216</v>
      </c>
      <c r="C9" s="350"/>
      <c r="D9" s="351"/>
      <c r="E9" s="352"/>
    </row>
    <row r="10" spans="1:6" x14ac:dyDescent="0.15">
      <c r="A10" s="53"/>
      <c r="B10" s="353" t="s">
        <v>220</v>
      </c>
      <c r="C10" s="354" t="s">
        <v>224</v>
      </c>
      <c r="D10" s="353" t="s">
        <v>11</v>
      </c>
      <c r="E10" s="354" t="s">
        <v>224</v>
      </c>
    </row>
    <row r="11" spans="1:6" x14ac:dyDescent="0.15">
      <c r="A11" s="355" t="s">
        <v>33</v>
      </c>
      <c r="B11" s="356">
        <v>35</v>
      </c>
      <c r="C11" s="357"/>
      <c r="D11" s="358">
        <f>B11*5*52/12</f>
        <v>758.33333333333337</v>
      </c>
      <c r="E11" s="358">
        <f>C11*5*52/12</f>
        <v>0</v>
      </c>
    </row>
    <row r="12" spans="1:6" x14ac:dyDescent="0.15">
      <c r="A12" s="359" t="s">
        <v>34</v>
      </c>
      <c r="B12" s="356">
        <v>31.5</v>
      </c>
      <c r="C12" s="357"/>
      <c r="D12" s="358">
        <f t="shared" ref="D12:E14" si="1">B12*5*52/12</f>
        <v>682.5</v>
      </c>
      <c r="E12" s="358">
        <f t="shared" si="1"/>
        <v>0</v>
      </c>
    </row>
    <row r="13" spans="1:6" x14ac:dyDescent="0.15">
      <c r="A13" s="359" t="s">
        <v>31</v>
      </c>
      <c r="B13" s="356">
        <v>30</v>
      </c>
      <c r="C13" s="357"/>
      <c r="D13" s="358">
        <f t="shared" si="1"/>
        <v>650</v>
      </c>
      <c r="E13" s="358">
        <f t="shared" si="1"/>
        <v>0</v>
      </c>
    </row>
    <row r="14" spans="1:6" x14ac:dyDescent="0.15">
      <c r="A14" s="359" t="s">
        <v>76</v>
      </c>
      <c r="B14" s="356">
        <v>15</v>
      </c>
      <c r="C14" s="357"/>
      <c r="D14" s="358">
        <f t="shared" si="1"/>
        <v>325</v>
      </c>
      <c r="E14" s="358">
        <f t="shared" si="1"/>
        <v>0</v>
      </c>
    </row>
    <row r="15" spans="1:6" x14ac:dyDescent="0.15">
      <c r="A15" s="53"/>
      <c r="B15" s="53"/>
      <c r="C15" s="53"/>
      <c r="D15" s="53"/>
      <c r="E15" s="53"/>
    </row>
    <row r="16" spans="1:6" x14ac:dyDescent="0.15">
      <c r="A16" s="53"/>
      <c r="B16" s="53"/>
      <c r="C16" s="53"/>
      <c r="D16" s="53"/>
      <c r="E16" s="53"/>
    </row>
    <row r="17" spans="1:5" x14ac:dyDescent="0.15">
      <c r="A17" s="53" t="s">
        <v>219</v>
      </c>
      <c r="B17" s="349" t="s">
        <v>216</v>
      </c>
      <c r="C17" s="350"/>
      <c r="D17" s="351"/>
      <c r="E17" s="352"/>
    </row>
    <row r="18" spans="1:5" x14ac:dyDescent="0.15">
      <c r="A18" s="53"/>
      <c r="B18" s="353" t="s">
        <v>220</v>
      </c>
      <c r="C18" s="354" t="s">
        <v>224</v>
      </c>
      <c r="D18" s="353" t="s">
        <v>11</v>
      </c>
      <c r="E18" s="354" t="s">
        <v>224</v>
      </c>
    </row>
    <row r="19" spans="1:5" x14ac:dyDescent="0.15">
      <c r="A19" s="355" t="s">
        <v>33</v>
      </c>
      <c r="B19" s="356">
        <v>35</v>
      </c>
      <c r="C19" s="357"/>
      <c r="D19" s="358">
        <f>B19*5*52/12</f>
        <v>758.33333333333337</v>
      </c>
      <c r="E19" s="358">
        <f>C19*5*52/12</f>
        <v>0</v>
      </c>
    </row>
    <row r="20" spans="1:5" x14ac:dyDescent="0.15">
      <c r="A20" s="359" t="s">
        <v>34</v>
      </c>
      <c r="B20" s="356">
        <v>31.5</v>
      </c>
      <c r="C20" s="357"/>
      <c r="D20" s="358">
        <f t="shared" ref="D20:E22" si="2">B20*5*52/12</f>
        <v>682.5</v>
      </c>
      <c r="E20" s="358">
        <f t="shared" si="2"/>
        <v>0</v>
      </c>
    </row>
    <row r="21" spans="1:5" x14ac:dyDescent="0.15">
      <c r="A21" s="359" t="s">
        <v>31</v>
      </c>
      <c r="B21" s="356">
        <v>30</v>
      </c>
      <c r="C21" s="357"/>
      <c r="D21" s="358">
        <f t="shared" si="2"/>
        <v>650</v>
      </c>
      <c r="E21" s="358">
        <f t="shared" si="2"/>
        <v>0</v>
      </c>
    </row>
    <row r="22" spans="1:5" x14ac:dyDescent="0.15">
      <c r="A22" s="359" t="s">
        <v>76</v>
      </c>
      <c r="B22" s="356">
        <v>15</v>
      </c>
      <c r="C22" s="357"/>
      <c r="D22" s="358">
        <f t="shared" si="2"/>
        <v>325</v>
      </c>
      <c r="E22" s="358">
        <f t="shared" si="2"/>
        <v>0</v>
      </c>
    </row>
    <row r="23" spans="1:5" x14ac:dyDescent="0.15">
      <c r="A23" s="53"/>
      <c r="B23" s="53"/>
      <c r="C23" s="53"/>
      <c r="D23" s="53"/>
      <c r="E23" s="53"/>
    </row>
    <row r="26" spans="1:5" x14ac:dyDescent="0.15">
      <c r="B26" s="92"/>
      <c r="C26" s="97"/>
      <c r="D26" s="97"/>
      <c r="E26" s="93"/>
    </row>
    <row r="27" spans="1:5" x14ac:dyDescent="0.15">
      <c r="A27" s="94"/>
      <c r="B27" s="27"/>
      <c r="E27" s="86"/>
    </row>
    <row r="28" spans="1:5" x14ac:dyDescent="0.15">
      <c r="A28" s="95"/>
      <c r="B28" s="27"/>
      <c r="E28" s="86"/>
    </row>
    <row r="29" spans="1:5" x14ac:dyDescent="0.15">
      <c r="A29" s="95"/>
      <c r="B29" s="27"/>
      <c r="E29" s="86"/>
    </row>
    <row r="30" spans="1:5" x14ac:dyDescent="0.15">
      <c r="A30" s="96"/>
      <c r="B30" s="91"/>
      <c r="C30" s="76"/>
      <c r="D30" s="87"/>
      <c r="E30" s="87"/>
    </row>
    <row r="31" spans="1:5" x14ac:dyDescent="0.15">
      <c r="A31" s="303"/>
      <c r="B31" s="27"/>
      <c r="E31" s="86"/>
    </row>
    <row r="32" spans="1:5" x14ac:dyDescent="0.15">
      <c r="A32" s="11" t="s">
        <v>226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97D33-A6BF-BE41-987E-1D38E46FE635}">
  <sheetPr codeName="Sheet12">
    <tabColor theme="5" tint="0.39997558519241921"/>
  </sheetPr>
  <dimension ref="A1:Q20"/>
  <sheetViews>
    <sheetView workbookViewId="0"/>
  </sheetViews>
  <sheetFormatPr baseColWidth="10" defaultColWidth="8.83203125" defaultRowHeight="13" x14ac:dyDescent="0.15"/>
  <cols>
    <col min="1" max="1" width="13.83203125" style="164" customWidth="1"/>
    <col min="2" max="2" width="8.83203125" style="164"/>
    <col min="3" max="3" width="8.83203125" style="164" customWidth="1"/>
    <col min="4" max="16384" width="8.83203125" style="164"/>
  </cols>
  <sheetData>
    <row r="1" spans="1:17" x14ac:dyDescent="0.15">
      <c r="A1" s="164" t="s">
        <v>110</v>
      </c>
      <c r="L1" s="165" t="s">
        <v>111</v>
      </c>
    </row>
    <row r="2" spans="1:17" x14ac:dyDescent="0.15">
      <c r="A2" s="164" t="s">
        <v>112</v>
      </c>
    </row>
    <row r="3" spans="1:17" ht="25.75" customHeight="1" x14ac:dyDescent="0.15">
      <c r="A3" s="164" t="s">
        <v>256</v>
      </c>
    </row>
    <row r="4" spans="1:17" x14ac:dyDescent="0.15">
      <c r="A4" s="164" t="s">
        <v>113</v>
      </c>
      <c r="H4" s="166"/>
      <c r="I4" s="167" t="s">
        <v>114</v>
      </c>
      <c r="Q4" s="11" t="s">
        <v>132</v>
      </c>
    </row>
    <row r="6" spans="1:17" x14ac:dyDescent="0.15">
      <c r="B6" s="173" t="s">
        <v>122</v>
      </c>
      <c r="H6" s="167" t="s">
        <v>121</v>
      </c>
    </row>
    <row r="7" spans="1:17" ht="28" x14ac:dyDescent="0.15">
      <c r="D7" s="169" t="s">
        <v>115</v>
      </c>
      <c r="E7" s="170" t="s">
        <v>116</v>
      </c>
      <c r="F7" s="169" t="s">
        <v>117</v>
      </c>
      <c r="H7" s="168" t="s">
        <v>118</v>
      </c>
      <c r="J7" s="164" t="s">
        <v>119</v>
      </c>
    </row>
    <row r="8" spans="1:17" x14ac:dyDescent="0.15">
      <c r="A8" s="164" t="s">
        <v>120</v>
      </c>
      <c r="B8" s="164" t="s">
        <v>123</v>
      </c>
      <c r="D8" s="174">
        <v>1.4</v>
      </c>
      <c r="E8" s="174">
        <v>2.63</v>
      </c>
      <c r="F8" s="174">
        <v>0.78</v>
      </c>
      <c r="H8" s="171">
        <f>SUM(D8,E8,2*F8)</f>
        <v>5.59</v>
      </c>
      <c r="J8" s="172">
        <f>5*H8</f>
        <v>27.95</v>
      </c>
    </row>
    <row r="9" spans="1:17" x14ac:dyDescent="0.15">
      <c r="B9" s="164" t="s">
        <v>124</v>
      </c>
      <c r="D9" s="174">
        <v>0.51</v>
      </c>
      <c r="E9" s="174">
        <v>1.59</v>
      </c>
      <c r="F9" s="174">
        <v>0.21</v>
      </c>
      <c r="H9" s="171">
        <f>SUM(D9,E9,2*F9)</f>
        <v>2.52</v>
      </c>
      <c r="J9" s="172">
        <f>5*H9</f>
        <v>12.6</v>
      </c>
    </row>
    <row r="11" spans="1:17" x14ac:dyDescent="0.15">
      <c r="A11" s="164" t="s">
        <v>125</v>
      </c>
    </row>
    <row r="12" spans="1:17" x14ac:dyDescent="0.15">
      <c r="A12" s="11" t="s">
        <v>255</v>
      </c>
      <c r="H12" s="164" t="s">
        <v>126</v>
      </c>
    </row>
    <row r="13" spans="1:17" x14ac:dyDescent="0.15">
      <c r="A13" s="11"/>
      <c r="G13" s="164" t="s">
        <v>127</v>
      </c>
    </row>
    <row r="15" spans="1:17" x14ac:dyDescent="0.15">
      <c r="B15" s="164" t="s">
        <v>128</v>
      </c>
    </row>
    <row r="16" spans="1:17" ht="50.75" customHeight="1" x14ac:dyDescent="0.15">
      <c r="B16" s="502" t="s">
        <v>129</v>
      </c>
      <c r="C16" s="502"/>
      <c r="D16" s="502"/>
      <c r="E16" s="502"/>
      <c r="F16" s="502"/>
      <c r="G16" s="502"/>
      <c r="H16" s="502"/>
      <c r="I16" s="502"/>
      <c r="J16" s="502"/>
      <c r="K16" s="502"/>
    </row>
    <row r="17" spans="2:11" x14ac:dyDescent="0.15">
      <c r="B17" s="168"/>
    </row>
    <row r="18" spans="2:11" ht="51.25" customHeight="1" x14ac:dyDescent="0.15">
      <c r="B18" s="502" t="s">
        <v>130</v>
      </c>
      <c r="C18" s="502"/>
      <c r="D18" s="502"/>
      <c r="E18" s="502"/>
      <c r="F18" s="502"/>
      <c r="G18" s="502"/>
      <c r="H18" s="502"/>
      <c r="I18" s="502"/>
      <c r="J18" s="502"/>
      <c r="K18" s="502"/>
    </row>
    <row r="19" spans="2:11" x14ac:dyDescent="0.15">
      <c r="B19" s="168"/>
    </row>
    <row r="20" spans="2:11" ht="35.5" customHeight="1" x14ac:dyDescent="0.15">
      <c r="B20" s="502" t="s">
        <v>131</v>
      </c>
      <c r="C20" s="502"/>
      <c r="D20" s="502"/>
      <c r="E20" s="502"/>
      <c r="F20" s="502"/>
      <c r="G20" s="502"/>
      <c r="H20" s="502"/>
      <c r="I20" s="502"/>
      <c r="J20" s="502"/>
      <c r="K20" s="502"/>
    </row>
  </sheetData>
  <mergeCells count="3">
    <mergeCell ref="B16:K16"/>
    <mergeCell ref="B18:K18"/>
    <mergeCell ref="B20:K20"/>
  </mergeCells>
  <hyperlinks>
    <hyperlink ref="Q4" r:id="rId1" xr:uid="{76EEF180-33DD-5D47-AA56-8070A3ADC0E7}"/>
  </hyperlinks>
  <pageMargins left="0.75" right="0.75" top="1" bottom="1" header="0.5" footer="0.5"/>
  <pageSetup orientation="portrait" horizontalDpi="4294967293" r:id="rId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VariablesINPUT-FCC</vt:lpstr>
      <vt:lpstr>Quality Home Profile</vt:lpstr>
      <vt:lpstr>QualVar</vt:lpstr>
      <vt:lpstr>Nonpersonnel PCQC</vt:lpstr>
      <vt:lpstr>Wages</vt:lpstr>
      <vt:lpstr>Subsidy Rates</vt:lpstr>
      <vt:lpstr>Tuition Rates</vt:lpstr>
      <vt:lpstr>Fed CACFP</vt:lpstr>
      <vt:lpstr>_NumberTeachingStaff</vt:lpstr>
      <vt:lpstr>Admin_Staff</vt:lpstr>
      <vt:lpstr>Asst_Teacher</vt:lpstr>
      <vt:lpstr>Asst_TeacherIT</vt:lpstr>
      <vt:lpstr>AsstTeacherFCC</vt:lpstr>
      <vt:lpstr>BadDebt</vt:lpstr>
      <vt:lpstr>EnrollEffic</vt:lpstr>
      <vt:lpstr>Floater_Assts</vt:lpstr>
      <vt:lpstr>HealthIns</vt:lpstr>
      <vt:lpstr>InfantClassrooms</vt:lpstr>
      <vt:lpstr>Infants</vt:lpstr>
      <vt:lpstr>Nonpersonnel</vt:lpstr>
      <vt:lpstr>NP_EdProgram</vt:lpstr>
      <vt:lpstr>NP_MgtAdmin</vt:lpstr>
      <vt:lpstr>NP_Occupancy</vt:lpstr>
      <vt:lpstr>Occupancy</vt:lpstr>
      <vt:lpstr>Paid_Leave</vt:lpstr>
      <vt:lpstr>Preschoolers</vt:lpstr>
      <vt:lpstr>PreschoolersClassroom</vt:lpstr>
      <vt:lpstr>'VariablesINPUT-FCC'!Print_Area</vt:lpstr>
      <vt:lpstr>QualityVarCost</vt:lpstr>
      <vt:lpstr>Reserve_Fund</vt:lpstr>
      <vt:lpstr>SchoolageClassroom</vt:lpstr>
      <vt:lpstr>Schoolagers</vt:lpstr>
      <vt:lpstr>Sick_Days</vt:lpstr>
      <vt:lpstr>Sick_DaysFCC</vt:lpstr>
      <vt:lpstr>Subs</vt:lpstr>
      <vt:lpstr>ToddlerClassrooms</vt:lpstr>
      <vt:lpstr>Toddlers</vt:lpstr>
      <vt:lpstr>TotalChildren</vt:lpstr>
      <vt:lpstr>Twos</vt:lpstr>
      <vt:lpstr>TwosClassroom</vt:lpstr>
      <vt:lpstr>TwosClassrooms</vt:lpstr>
    </vt:vector>
  </TitlesOfParts>
  <Company>Early Childhood Policy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Mitchell</dc:creator>
  <cp:lastModifiedBy>Simon Workman</cp:lastModifiedBy>
  <cp:lastPrinted>2016-02-14T14:23:36Z</cp:lastPrinted>
  <dcterms:created xsi:type="dcterms:W3CDTF">2008-09-19T15:38:02Z</dcterms:created>
  <dcterms:modified xsi:type="dcterms:W3CDTF">2022-03-01T18:55:41Z</dcterms:modified>
</cp:coreProperties>
</file>